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75" windowWidth="19290" windowHeight="12030"/>
  </bookViews>
  <sheets>
    <sheet name="IN-&amp;OUTPUT PRESSURES" sheetId="7" r:id="rId1"/>
    <sheet name="Mohr berekeningen" sheetId="10" r:id="rId2"/>
    <sheet name="gradienten" sheetId="2" r:id="rId3"/>
  </sheets>
  <calcPr calcId="145621"/>
</workbook>
</file>

<file path=xl/calcChain.xml><?xml version="1.0" encoding="utf-8"?>
<calcChain xmlns="http://schemas.openxmlformats.org/spreadsheetml/2006/main">
  <c r="C46" i="2" l="1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38" i="7" l="1"/>
  <c r="D38" i="7" s="1"/>
  <c r="C37" i="7"/>
  <c r="AA3" i="2"/>
  <c r="C10" i="7"/>
  <c r="D37" i="7" l="1"/>
  <c r="AA2" i="2"/>
  <c r="AD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Y3" i="2" l="1"/>
  <c r="Y4" i="2" s="1"/>
  <c r="D39" i="7" l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2" i="2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3" i="2"/>
  <c r="E4" i="2"/>
  <c r="E5" i="2"/>
  <c r="E6" i="2"/>
  <c r="E7" i="2"/>
  <c r="E8" i="2"/>
  <c r="E9" i="2"/>
  <c r="E10" i="2"/>
  <c r="E2" i="2"/>
  <c r="N27" i="2" l="1"/>
  <c r="N26" i="2"/>
  <c r="P16" i="10" l="1"/>
  <c r="N6" i="2" l="1"/>
  <c r="Q33" i="2"/>
  <c r="Q35" i="2"/>
  <c r="Q34" i="2"/>
  <c r="AB3" i="2"/>
  <c r="Y5" i="2"/>
  <c r="W5" i="2"/>
  <c r="X2" i="2"/>
  <c r="P9" i="10"/>
  <c r="C9" i="7"/>
  <c r="P8" i="10" s="1"/>
  <c r="P28" i="10"/>
  <c r="P27" i="10"/>
  <c r="P23" i="10"/>
  <c r="P21" i="10"/>
  <c r="P22" i="10"/>
  <c r="P15" i="10"/>
  <c r="P18" i="10"/>
  <c r="P14" i="10"/>
  <c r="P6" i="10"/>
  <c r="P5" i="10"/>
  <c r="P4" i="10"/>
  <c r="P3" i="10"/>
  <c r="I6" i="10" l="1"/>
  <c r="X5" i="2"/>
  <c r="D6" i="10"/>
  <c r="T2" i="10"/>
  <c r="W3" i="2"/>
  <c r="X3" i="2" s="1"/>
  <c r="W4" i="2"/>
  <c r="T3" i="10"/>
  <c r="T6" i="10"/>
  <c r="T5" i="10"/>
  <c r="T4" i="10"/>
  <c r="T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X4" i="2" l="1"/>
  <c r="A15" i="7"/>
  <c r="A20" i="7"/>
  <c r="A13" i="7"/>
  <c r="A12" i="7"/>
  <c r="A17" i="7"/>
  <c r="A28" i="7"/>
  <c r="A29" i="7"/>
  <c r="A16" i="7"/>
  <c r="A23" i="7"/>
  <c r="A24" i="7"/>
  <c r="A30" i="7"/>
  <c r="A7" i="7"/>
  <c r="A9" i="7"/>
  <c r="A10" i="7"/>
  <c r="A8" i="7"/>
  <c r="A26" i="7"/>
  <c r="A27" i="7"/>
  <c r="A4" i="7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12" i="2"/>
  <c r="I12" i="2" s="1"/>
  <c r="H13" i="2"/>
  <c r="I13" i="2" s="1"/>
  <c r="H14" i="2"/>
  <c r="H15" i="2"/>
  <c r="H16" i="2"/>
  <c r="I16" i="2" s="1"/>
  <c r="H17" i="2"/>
  <c r="I17" i="2" s="1"/>
  <c r="H18" i="2"/>
  <c r="H19" i="2"/>
  <c r="I19" i="2" s="1"/>
  <c r="H20" i="2"/>
  <c r="I20" i="2" s="1"/>
  <c r="H21" i="2"/>
  <c r="H22" i="2"/>
  <c r="I22" i="2" s="1"/>
  <c r="H23" i="2"/>
  <c r="I23" i="2" s="1"/>
  <c r="H24" i="2"/>
  <c r="H25" i="2"/>
  <c r="H26" i="2"/>
  <c r="H27" i="2"/>
  <c r="H28" i="2"/>
  <c r="I28" i="2" s="1"/>
  <c r="H29" i="2"/>
  <c r="H30" i="2"/>
  <c r="H31" i="2"/>
  <c r="H32" i="2"/>
  <c r="H33" i="2"/>
  <c r="H34" i="2"/>
  <c r="I34" i="2" s="1"/>
  <c r="H35" i="2"/>
  <c r="H11" i="2"/>
  <c r="I11" i="2" s="1"/>
  <c r="H3" i="2"/>
  <c r="I3" i="2" s="1"/>
  <c r="H4" i="2"/>
  <c r="I4" i="2" s="1"/>
  <c r="H5" i="2"/>
  <c r="H6" i="2"/>
  <c r="I6" i="2" s="1"/>
  <c r="H7" i="2"/>
  <c r="H8" i="2"/>
  <c r="H9" i="2"/>
  <c r="H10" i="2"/>
  <c r="H2" i="2"/>
  <c r="N35" i="2"/>
  <c r="N39" i="2" s="1"/>
  <c r="N40" i="2" s="1"/>
  <c r="N5" i="2"/>
  <c r="Q39" i="2"/>
  <c r="Q40" i="2" s="1"/>
  <c r="I29" i="2" l="1"/>
  <c r="G29" i="2" s="1"/>
  <c r="I25" i="2"/>
  <c r="G25" i="2" s="1"/>
  <c r="I21" i="2"/>
  <c r="G21" i="2" s="1"/>
  <c r="I7" i="2"/>
  <c r="G7" i="2" s="1"/>
  <c r="I33" i="2"/>
  <c r="G33" i="2" s="1"/>
  <c r="I10" i="2"/>
  <c r="G10" i="2" s="1"/>
  <c r="I32" i="2"/>
  <c r="G32" i="2" s="1"/>
  <c r="I24" i="2"/>
  <c r="G24" i="2" s="1"/>
  <c r="I35" i="2"/>
  <c r="G35" i="2" s="1"/>
  <c r="I27" i="2"/>
  <c r="G27" i="2" s="1"/>
  <c r="I15" i="2"/>
  <c r="G15" i="2" s="1"/>
  <c r="I2" i="2"/>
  <c r="G2" i="2" s="1"/>
  <c r="I9" i="2"/>
  <c r="G9" i="2" s="1"/>
  <c r="I5" i="2"/>
  <c r="G5" i="2" s="1"/>
  <c r="J5" i="2" s="1"/>
  <c r="I31" i="2"/>
  <c r="G31" i="2" s="1"/>
  <c r="I8" i="2"/>
  <c r="G8" i="2" s="1"/>
  <c r="J8" i="2" s="1"/>
  <c r="I30" i="2"/>
  <c r="G30" i="2" s="1"/>
  <c r="I26" i="2"/>
  <c r="G26" i="2" s="1"/>
  <c r="I18" i="2"/>
  <c r="G18" i="2" s="1"/>
  <c r="I14" i="2"/>
  <c r="G14" i="2" s="1"/>
  <c r="G11" i="2"/>
  <c r="G6" i="2"/>
  <c r="G4" i="2"/>
  <c r="G28" i="2"/>
  <c r="G22" i="2"/>
  <c r="G37" i="2"/>
  <c r="G19" i="2"/>
  <c r="G16" i="2"/>
  <c r="F16" i="2" s="1"/>
  <c r="G12" i="2"/>
  <c r="G45" i="2"/>
  <c r="G42" i="2"/>
  <c r="G40" i="2"/>
  <c r="G3" i="2"/>
  <c r="G34" i="2"/>
  <c r="G20" i="2"/>
  <c r="G17" i="2"/>
  <c r="G13" i="2"/>
  <c r="G23" i="2"/>
  <c r="G43" i="2"/>
  <c r="G38" i="2"/>
  <c r="G46" i="2"/>
  <c r="G44" i="2"/>
  <c r="G41" i="2"/>
  <c r="G39" i="2"/>
  <c r="G36" i="2"/>
  <c r="F42" i="10"/>
  <c r="P11" i="10"/>
  <c r="P12" i="10"/>
  <c r="C22" i="7"/>
  <c r="P20" i="10" s="1"/>
  <c r="P25" i="10" s="1"/>
  <c r="C4" i="7"/>
  <c r="I42" i="10" l="1"/>
  <c r="N46" i="2"/>
  <c r="N47" i="2"/>
  <c r="F10" i="2"/>
  <c r="J9" i="2"/>
  <c r="F35" i="2"/>
  <c r="J35" i="2"/>
  <c r="J33" i="2"/>
  <c r="F33" i="2"/>
  <c r="J6" i="2"/>
  <c r="J20" i="2"/>
  <c r="F19" i="2"/>
  <c r="J19" i="2"/>
  <c r="J16" i="2"/>
  <c r="J10" i="2"/>
  <c r="J7" i="2"/>
  <c r="J4" i="2"/>
  <c r="J3" i="2"/>
  <c r="J2" i="2"/>
  <c r="J15" i="2"/>
  <c r="F15" i="2"/>
  <c r="K6" i="10"/>
  <c r="F6" i="10"/>
  <c r="G30" i="10" s="1"/>
  <c r="K42" i="10"/>
  <c r="D42" i="10"/>
  <c r="D11" i="10" s="1"/>
  <c r="J6" i="10" l="1"/>
  <c r="I7" i="10"/>
  <c r="F20" i="2"/>
  <c r="J32" i="2"/>
  <c r="F32" i="2"/>
  <c r="J11" i="2"/>
  <c r="F11" i="2"/>
  <c r="F36" i="2"/>
  <c r="J36" i="2"/>
  <c r="J25" i="2"/>
  <c r="F25" i="2"/>
  <c r="J38" i="2"/>
  <c r="F38" i="2"/>
  <c r="J17" i="2"/>
  <c r="F17" i="2"/>
  <c r="J42" i="2"/>
  <c r="F42" i="2"/>
  <c r="F28" i="2"/>
  <c r="J28" i="2"/>
  <c r="J12" i="2"/>
  <c r="F12" i="2"/>
  <c r="J21" i="2"/>
  <c r="F21" i="2"/>
  <c r="J46" i="2"/>
  <c r="F46" i="2"/>
  <c r="J39" i="2"/>
  <c r="F39" i="2"/>
  <c r="F43" i="2"/>
  <c r="J43" i="2"/>
  <c r="J40" i="2"/>
  <c r="F40" i="2"/>
  <c r="F18" i="2"/>
  <c r="J18" i="2"/>
  <c r="F31" i="2"/>
  <c r="J31" i="2"/>
  <c r="J44" i="2"/>
  <c r="F44" i="2"/>
  <c r="J45" i="2"/>
  <c r="F45" i="2"/>
  <c r="F27" i="2"/>
  <c r="J27" i="2"/>
  <c r="J34" i="2"/>
  <c r="F34" i="2"/>
  <c r="J24" i="2"/>
  <c r="F24" i="2"/>
  <c r="F37" i="2"/>
  <c r="J37" i="2"/>
  <c r="J23" i="2"/>
  <c r="F23" i="2"/>
  <c r="F13" i="2"/>
  <c r="J13" i="2"/>
  <c r="F22" i="2"/>
  <c r="J22" i="2"/>
  <c r="J26" i="2"/>
  <c r="F26" i="2"/>
  <c r="F41" i="2"/>
  <c r="J41" i="2"/>
  <c r="J29" i="2"/>
  <c r="F29" i="2"/>
  <c r="J14" i="2"/>
  <c r="F14" i="2"/>
  <c r="J30" i="2"/>
  <c r="F30" i="2"/>
  <c r="G32" i="10"/>
  <c r="L7" i="10"/>
  <c r="K23" i="10"/>
  <c r="F32" i="10"/>
  <c r="K25" i="10"/>
  <c r="F33" i="10"/>
  <c r="F31" i="10"/>
  <c r="G22" i="10"/>
  <c r="F26" i="10"/>
  <c r="F23" i="10"/>
  <c r="L29" i="10"/>
  <c r="F34" i="10"/>
  <c r="G13" i="10"/>
  <c r="L21" i="10"/>
  <c r="F16" i="10"/>
  <c r="F11" i="10"/>
  <c r="G8" i="10"/>
  <c r="L24" i="10"/>
  <c r="K8" i="10"/>
  <c r="G25" i="10"/>
  <c r="F14" i="10"/>
  <c r="F39" i="10"/>
  <c r="F35" i="10"/>
  <c r="G20" i="10"/>
  <c r="G23" i="10"/>
  <c r="G34" i="10"/>
  <c r="F37" i="10"/>
  <c r="F13" i="10"/>
  <c r="F40" i="10"/>
  <c r="G36" i="10"/>
  <c r="G19" i="10"/>
  <c r="G37" i="10"/>
  <c r="F19" i="10"/>
  <c r="G10" i="10"/>
  <c r="L38" i="10"/>
  <c r="K33" i="10"/>
  <c r="L27" i="10"/>
  <c r="L13" i="10"/>
  <c r="K18" i="10"/>
  <c r="K19" i="10"/>
  <c r="K34" i="10"/>
  <c r="K15" i="10"/>
  <c r="K16" i="10"/>
  <c r="L32" i="10"/>
  <c r="K32" i="10"/>
  <c r="K7" i="10"/>
  <c r="L30" i="10"/>
  <c r="K10" i="10"/>
  <c r="K20" i="10"/>
  <c r="L19" i="10"/>
  <c r="K22" i="10"/>
  <c r="F12" i="10"/>
  <c r="F30" i="10"/>
  <c r="F41" i="10"/>
  <c r="F29" i="10"/>
  <c r="F9" i="10"/>
  <c r="F17" i="10"/>
  <c r="F7" i="10"/>
  <c r="G40" i="10"/>
  <c r="G7" i="10"/>
  <c r="G27" i="10"/>
  <c r="G21" i="10"/>
  <c r="G6" i="10"/>
  <c r="G26" i="10"/>
  <c r="F38" i="10"/>
  <c r="F21" i="10"/>
  <c r="F18" i="10"/>
  <c r="F36" i="10"/>
  <c r="F15" i="10"/>
  <c r="G41" i="10"/>
  <c r="F22" i="10"/>
  <c r="G28" i="10"/>
  <c r="G16" i="10"/>
  <c r="G11" i="10"/>
  <c r="G9" i="10"/>
  <c r="G29" i="10"/>
  <c r="G18" i="10"/>
  <c r="G38" i="10"/>
  <c r="L34" i="10"/>
  <c r="F25" i="10"/>
  <c r="F28" i="10"/>
  <c r="F27" i="10"/>
  <c r="G42" i="10"/>
  <c r="F20" i="10"/>
  <c r="F10" i="10"/>
  <c r="G39" i="10"/>
  <c r="F24" i="10"/>
  <c r="F8" i="10"/>
  <c r="G12" i="10"/>
  <c r="G15" i="10"/>
  <c r="G24" i="10"/>
  <c r="G31" i="10"/>
  <c r="G35" i="10"/>
  <c r="G17" i="10"/>
  <c r="G33" i="10"/>
  <c r="G14" i="10"/>
  <c r="L37" i="10"/>
  <c r="L40" i="10"/>
  <c r="L18" i="10"/>
  <c r="K31" i="10"/>
  <c r="K9" i="10"/>
  <c r="L6" i="10"/>
  <c r="L41" i="10"/>
  <c r="K27" i="10"/>
  <c r="L17" i="10"/>
  <c r="L35" i="10"/>
  <c r="L9" i="10"/>
  <c r="L11" i="10"/>
  <c r="L14" i="10"/>
  <c r="L25" i="10"/>
  <c r="K13" i="10"/>
  <c r="K17" i="10"/>
  <c r="L10" i="10"/>
  <c r="L33" i="10"/>
  <c r="L36" i="10"/>
  <c r="K11" i="10"/>
  <c r="L39" i="10"/>
  <c r="K36" i="10"/>
  <c r="K30" i="10"/>
  <c r="L8" i="10"/>
  <c r="L28" i="10"/>
  <c r="K40" i="10"/>
  <c r="K26" i="10"/>
  <c r="K29" i="10"/>
  <c r="L31" i="10"/>
  <c r="L26" i="10"/>
  <c r="K35" i="10"/>
  <c r="K12" i="10"/>
  <c r="L42" i="10"/>
  <c r="K24" i="10"/>
  <c r="L16" i="10"/>
  <c r="K28" i="10"/>
  <c r="L23" i="10"/>
  <c r="K21" i="10"/>
  <c r="K41" i="10"/>
  <c r="K38" i="10"/>
  <c r="P33" i="10"/>
  <c r="D40" i="7" s="1"/>
  <c r="K39" i="10"/>
  <c r="L12" i="10"/>
  <c r="L22" i="10"/>
  <c r="K14" i="10"/>
  <c r="L15" i="10"/>
  <c r="K37" i="10"/>
  <c r="L20" i="10"/>
  <c r="J39" i="10"/>
  <c r="I37" i="10"/>
  <c r="J34" i="10"/>
  <c r="J31" i="10"/>
  <c r="I29" i="10"/>
  <c r="J26" i="10"/>
  <c r="J23" i="10"/>
  <c r="I21" i="10"/>
  <c r="J18" i="10"/>
  <c r="I16" i="10"/>
  <c r="I14" i="10"/>
  <c r="I12" i="10"/>
  <c r="I10" i="10"/>
  <c r="I8" i="10"/>
  <c r="J42" i="10"/>
  <c r="I39" i="10"/>
  <c r="J36" i="10"/>
  <c r="J33" i="10"/>
  <c r="I31" i="10"/>
  <c r="J28" i="10"/>
  <c r="J25" i="10"/>
  <c r="I23" i="10"/>
  <c r="J20" i="10"/>
  <c r="J17" i="10"/>
  <c r="J15" i="10"/>
  <c r="J13" i="10"/>
  <c r="J11" i="10"/>
  <c r="J9" i="10"/>
  <c r="J7" i="10"/>
  <c r="J41" i="10"/>
  <c r="J38" i="10"/>
  <c r="J35" i="10"/>
  <c r="I33" i="10"/>
  <c r="J30" i="10"/>
  <c r="J27" i="10"/>
  <c r="I25" i="10"/>
  <c r="J40" i="10"/>
  <c r="J29" i="10"/>
  <c r="J21" i="10"/>
  <c r="J16" i="10"/>
  <c r="J12" i="10"/>
  <c r="J8" i="10"/>
  <c r="I35" i="10"/>
  <c r="J24" i="10"/>
  <c r="J14" i="10"/>
  <c r="J10" i="10"/>
  <c r="J37" i="10"/>
  <c r="I27" i="10"/>
  <c r="J19" i="10"/>
  <c r="I15" i="10"/>
  <c r="I11" i="10"/>
  <c r="I19" i="10"/>
  <c r="J32" i="10"/>
  <c r="J22" i="10"/>
  <c r="I17" i="10"/>
  <c r="I13" i="10"/>
  <c r="I9" i="10"/>
  <c r="I20" i="10"/>
  <c r="I28" i="10"/>
  <c r="I36" i="10"/>
  <c r="I24" i="10"/>
  <c r="I40" i="10"/>
  <c r="I22" i="10"/>
  <c r="I30" i="10"/>
  <c r="I38" i="10"/>
  <c r="I41" i="10"/>
  <c r="I32" i="10"/>
  <c r="I18" i="10"/>
  <c r="I26" i="10"/>
  <c r="I34" i="10"/>
  <c r="E6" i="10"/>
  <c r="D36" i="10"/>
  <c r="D40" i="10"/>
  <c r="D29" i="10"/>
  <c r="D7" i="10"/>
  <c r="D22" i="10"/>
  <c r="D26" i="10"/>
  <c r="D10" i="10"/>
  <c r="E15" i="10"/>
  <c r="D23" i="10"/>
  <c r="E39" i="10"/>
  <c r="D18" i="10"/>
  <c r="E31" i="10"/>
  <c r="E14" i="10"/>
  <c r="E25" i="10"/>
  <c r="E9" i="10"/>
  <c r="E40" i="10"/>
  <c r="E24" i="10"/>
  <c r="D19" i="10"/>
  <c r="D13" i="10"/>
  <c r="E10" i="10"/>
  <c r="D16" i="10"/>
  <c r="E20" i="10"/>
  <c r="D37" i="10"/>
  <c r="D17" i="10"/>
  <c r="D33" i="10"/>
  <c r="E35" i="10"/>
  <c r="E7" i="10"/>
  <c r="E33" i="10"/>
  <c r="E16" i="10"/>
  <c r="D30" i="10"/>
  <c r="D20" i="10"/>
  <c r="E23" i="10"/>
  <c r="D24" i="10"/>
  <c r="D38" i="10"/>
  <c r="D15" i="10"/>
  <c r="D21" i="10"/>
  <c r="E41" i="10"/>
  <c r="D35" i="10"/>
  <c r="E34" i="10"/>
  <c r="E8" i="10"/>
  <c r="E21" i="10"/>
  <c r="E36" i="10"/>
  <c r="D41" i="10"/>
  <c r="D39" i="10"/>
  <c r="E30" i="10"/>
  <c r="E26" i="10"/>
  <c r="D12" i="10"/>
  <c r="E42" i="10"/>
  <c r="D25" i="10"/>
  <c r="D34" i="10"/>
  <c r="E37" i="10"/>
  <c r="D28" i="10"/>
  <c r="D32" i="10"/>
  <c r="E19" i="10"/>
  <c r="E27" i="10"/>
  <c r="D27" i="10"/>
  <c r="D9" i="10"/>
  <c r="E11" i="10"/>
  <c r="E38" i="10"/>
  <c r="E18" i="10"/>
  <c r="E29" i="10"/>
  <c r="E13" i="10"/>
  <c r="D8" i="10"/>
  <c r="E28" i="10"/>
  <c r="E12" i="10"/>
  <c r="D31" i="10"/>
  <c r="D14" i="10"/>
  <c r="E22" i="10"/>
  <c r="E17" i="10"/>
  <c r="E32" i="10"/>
</calcChain>
</file>

<file path=xl/sharedStrings.xml><?xml version="1.0" encoding="utf-8"?>
<sst xmlns="http://schemas.openxmlformats.org/spreadsheetml/2006/main" count="202" uniqueCount="135">
  <si>
    <t>diepte</t>
  </si>
  <si>
    <t>hydostatisch</t>
  </si>
  <si>
    <t>lithostatisch</t>
  </si>
  <si>
    <t>diepte+</t>
  </si>
  <si>
    <t>Assumptions:</t>
  </si>
  <si>
    <t>Conservative : no change of Min in situ stress during fluid injection</t>
  </si>
  <si>
    <t>lithostatic gradient Sv</t>
  </si>
  <si>
    <t>kPa/m</t>
  </si>
  <si>
    <t>MPa/m</t>
  </si>
  <si>
    <t>bar/m</t>
  </si>
  <si>
    <t>reservoir pressure</t>
  </si>
  <si>
    <t>bar @ 2400m depth</t>
  </si>
  <si>
    <t xml:space="preserve">hydrostatic grad </t>
  </si>
  <si>
    <t>not used</t>
  </si>
  <si>
    <t>Ko=Shmin/Sv</t>
  </si>
  <si>
    <t>CASE 1 A</t>
  </si>
  <si>
    <t>Ko low bound</t>
  </si>
  <si>
    <t>representative for shallow depths 0-1000 (2000m)</t>
  </si>
  <si>
    <t>CASE 1 B</t>
  </si>
  <si>
    <t>Ko best estimate</t>
  </si>
  <si>
    <t>representative for larger depths 2000-3000m (and deeper)</t>
  </si>
  <si>
    <t>CASE 2</t>
  </si>
  <si>
    <t>Shmin=0.006*h^1.1421 {MPa]</t>
  </si>
  <si>
    <t>Friesland platform</t>
  </si>
  <si>
    <t>Temp effects</t>
  </si>
  <si>
    <t xml:space="preserve">Injected fluid 10 degC cooler than the reservoir rock </t>
  </si>
  <si>
    <t>induces a stress change of 33.3 bar in the near-well area.</t>
  </si>
  <si>
    <t>dS_therm</t>
  </si>
  <si>
    <t>bar</t>
  </si>
  <si>
    <t>see thermal stresses sheet</t>
  </si>
  <si>
    <t>Shmin case 1B</t>
  </si>
  <si>
    <t>temperatuur_Fm</t>
  </si>
  <si>
    <t>delta_T</t>
  </si>
  <si>
    <t>T-gradient (oC/m)</t>
  </si>
  <si>
    <t>Topp (oC)</t>
  </si>
  <si>
    <t>minimum E-modulus</t>
  </si>
  <si>
    <t>maximum E-modulus</t>
  </si>
  <si>
    <t>E</t>
  </si>
  <si>
    <t>2GPa</t>
  </si>
  <si>
    <t>10GPa</t>
  </si>
  <si>
    <t>from sonic log RZB-01 - average value for Middle and Lower Triassic; clean sands assumed</t>
  </si>
  <si>
    <t>sandstone parameter</t>
  </si>
  <si>
    <t>Youngs modulus</t>
  </si>
  <si>
    <t>Mpa</t>
  </si>
  <si>
    <t>Poisson ratio</t>
  </si>
  <si>
    <t>-</t>
  </si>
  <si>
    <t>Linear thermal expansion coefficient</t>
  </si>
  <si>
    <r>
      <rPr>
        <sz val="10"/>
        <rFont val="Symbol"/>
        <family val="1"/>
        <charset val="2"/>
      </rPr>
      <t>°</t>
    </r>
    <r>
      <rPr>
        <sz val="10"/>
        <rFont val="Arial"/>
        <family val="2"/>
      </rPr>
      <t>C-1</t>
    </r>
  </si>
  <si>
    <t>dT</t>
  </si>
  <si>
    <t>degrees</t>
  </si>
  <si>
    <t>thermal stress change</t>
  </si>
  <si>
    <t>thermal stress change (bar)</t>
  </si>
  <si>
    <t>admissible overpressure case !B</t>
  </si>
  <si>
    <t>Shmin case 1B - thermal stress red</t>
  </si>
  <si>
    <t>Poisson's ratio</t>
  </si>
  <si>
    <t>Arching coefficient</t>
  </si>
  <si>
    <t>m</t>
  </si>
  <si>
    <t>Linear thermal expansion coefficient ( °C-1)</t>
  </si>
  <si>
    <t>injectie</t>
  </si>
  <si>
    <t>waarde</t>
  </si>
  <si>
    <t>Invoer parameter</t>
  </si>
  <si>
    <t>Gemiddelde diepte top aquifer</t>
  </si>
  <si>
    <t>Aquiferdruk Productieput</t>
  </si>
  <si>
    <t>Aquiferdruk Injectieput</t>
  </si>
  <si>
    <t>Bottom hole pressure Productieput</t>
  </si>
  <si>
    <t>Bottom hole pressure injectieput</t>
  </si>
  <si>
    <t>Drukverschil over put-aquifer interface in productieput</t>
  </si>
  <si>
    <t>Drukverschil over put-aquifer interface in injectieput</t>
  </si>
  <si>
    <t>Diepte top aquifer in productieput</t>
  </si>
  <si>
    <t>Diepte top aquifer in injectieput</t>
  </si>
  <si>
    <t>Invoer parameters</t>
  </si>
  <si>
    <t>Uitvoer</t>
  </si>
  <si>
    <t>frac</t>
  </si>
  <si>
    <t>Aquifer temperatuur @ injectieput</t>
  </si>
  <si>
    <t>Aquifer temperatuur @ productieput</t>
  </si>
  <si>
    <t>Delta temperatuur @ injectieput</t>
  </si>
  <si>
    <t>lithostatische gradient</t>
  </si>
  <si>
    <t>sigma1</t>
  </si>
  <si>
    <t>sigma3</t>
  </si>
  <si>
    <t>INITIEEL</t>
  </si>
  <si>
    <t>Injectie</t>
  </si>
  <si>
    <t>Productie</t>
  </si>
  <si>
    <t>Graden voor</t>
  </si>
  <si>
    <t>opbouw cirkel</t>
  </si>
  <si>
    <t>INVOERPARAMETERS</t>
  </si>
  <si>
    <t>ΔP Productieput</t>
  </si>
  <si>
    <t>ΔP Injectieput</t>
  </si>
  <si>
    <t>Lithostatische gradient</t>
  </si>
  <si>
    <t>Horizontale gradient</t>
  </si>
  <si>
    <t>Thermische stress AAN/UIT</t>
  </si>
  <si>
    <t>ΔT injectiewater</t>
  </si>
  <si>
    <t>Poissons ratio</t>
  </si>
  <si>
    <t>Youngs Modulus (E )</t>
  </si>
  <si>
    <t>Thermische stress injectiewater</t>
  </si>
  <si>
    <t>Cohesie</t>
  </si>
  <si>
    <t>Hoek van inwendige wrijving</t>
  </si>
  <si>
    <t>o</t>
  </si>
  <si>
    <t>°C</t>
  </si>
  <si>
    <r>
      <t>°C</t>
    </r>
    <r>
      <rPr>
        <vertAlign val="superscript"/>
        <sz val="11"/>
        <rFont val="Calibri"/>
        <family val="2"/>
      </rPr>
      <t>-1</t>
    </r>
  </si>
  <si>
    <t>°</t>
  </si>
  <si>
    <t>τ</t>
  </si>
  <si>
    <t>σ</t>
  </si>
  <si>
    <t>Afstand cirkel tot envelope</t>
  </si>
  <si>
    <t>BEREKENINGEN</t>
  </si>
  <si>
    <t>Bottom hole pressure Injectieput</t>
  </si>
  <si>
    <t>Invloed thermische stress</t>
  </si>
  <si>
    <t>Default</t>
  </si>
  <si>
    <t>x</t>
  </si>
  <si>
    <t>PRESSURES cirkels</t>
  </si>
  <si>
    <t>BIJ PRODUCTIE</t>
  </si>
  <si>
    <t>Grafiek</t>
  </si>
  <si>
    <t>productie</t>
  </si>
  <si>
    <t>BHP</t>
  </si>
  <si>
    <t>initieel prod</t>
  </si>
  <si>
    <t>initieel inj</t>
  </si>
  <si>
    <t>surface</t>
  </si>
  <si>
    <t>Gemiddelde oppervlaktetemperatuur</t>
  </si>
  <si>
    <t>Temperatuurgradient</t>
  </si>
  <si>
    <t>Injectietemperatuur</t>
  </si>
  <si>
    <t>minimale horizontale spanningsgradient (bar/m)</t>
  </si>
  <si>
    <t>Diepte pomp</t>
  </si>
  <si>
    <t>Ja</t>
  </si>
  <si>
    <t>Fracking</t>
  </si>
  <si>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C</t>
    </r>
  </si>
  <si>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C/m</t>
    </r>
  </si>
  <si>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C</t>
    </r>
    <r>
      <rPr>
        <b/>
        <vertAlign val="superscript"/>
        <sz val="11"/>
        <rFont val="Calibri"/>
        <family val="2"/>
        <scheme val="minor"/>
      </rPr>
      <t>-1</t>
    </r>
  </si>
  <si>
    <t>Biot coefficient</t>
  </si>
  <si>
    <t>eenheid</t>
  </si>
  <si>
    <t>Kans op breukreactivatie</t>
  </si>
  <si>
    <t>SodM maximale druk</t>
  </si>
  <si>
    <t>Tubing Head Pressure toegestaan volgens SodM protocol</t>
  </si>
  <si>
    <t>Validatie</t>
  </si>
  <si>
    <t>Waarde</t>
  </si>
  <si>
    <t>Maximale verschildruk injectieput top reservoir</t>
  </si>
  <si>
    <t>hydrostatische gradient in injectieput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</si>
</sst>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vertAlign val="superscript"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4" fillId="12" borderId="0" applyNumberFormat="0" applyBorder="0" applyAlignment="0" applyProtection="0"/>
    <xf numFmtId="0" fontId="17" fillId="17" borderId="32" applyNumberFormat="0" applyAlignment="0" applyProtection="0"/>
  </cellStyleXfs>
  <cellXfs count="155">
    <xf numFmtId="0" fontId="0" fillId="0" borderId="0" xfId="0"/>
    <xf numFmtId="2" fontId="0" fillId="0" borderId="0" xfId="0" applyNumberFormat="1"/>
    <xf numFmtId="0" fontId="4" fillId="0" borderId="0" xfId="0" applyFont="1"/>
    <xf numFmtId="1" fontId="0" fillId="0" borderId="0" xfId="0" applyNumberFormat="1"/>
    <xf numFmtId="1" fontId="0" fillId="3" borderId="0" xfId="0" applyNumberFormat="1" applyFill="1"/>
    <xf numFmtId="0" fontId="4" fillId="0" borderId="0" xfId="0" applyFont="1" applyBorder="1"/>
    <xf numFmtId="2" fontId="0" fillId="0" borderId="0" xfId="0" applyNumberFormat="1" applyBorder="1"/>
    <xf numFmtId="0" fontId="0" fillId="0" borderId="3" xfId="0" applyBorder="1"/>
    <xf numFmtId="0" fontId="10" fillId="0" borderId="0" xfId="0" applyFont="1"/>
    <xf numFmtId="0" fontId="10" fillId="0" borderId="7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0" fillId="0" borderId="0" xfId="0" applyBorder="1"/>
    <xf numFmtId="0" fontId="10" fillId="11" borderId="2" xfId="0" applyFont="1" applyFill="1" applyBorder="1"/>
    <xf numFmtId="0" fontId="10" fillId="11" borderId="5" xfId="0" applyFont="1" applyFill="1" applyBorder="1"/>
    <xf numFmtId="0" fontId="10" fillId="11" borderId="6" xfId="0" applyFont="1" applyFill="1" applyBorder="1"/>
    <xf numFmtId="0" fontId="10" fillId="10" borderId="7" xfId="0" applyFont="1" applyFill="1" applyBorder="1"/>
    <xf numFmtId="0" fontId="10" fillId="10" borderId="5" xfId="0" applyFont="1" applyFill="1" applyBorder="1"/>
    <xf numFmtId="0" fontId="10" fillId="10" borderId="8" xfId="0" applyFont="1" applyFill="1" applyBorder="1"/>
    <xf numFmtId="0" fontId="11" fillId="10" borderId="1" xfId="0" applyFont="1" applyFill="1" applyBorder="1"/>
    <xf numFmtId="0" fontId="11" fillId="11" borderId="1" xfId="0" applyFont="1" applyFill="1" applyBorder="1"/>
    <xf numFmtId="164" fontId="9" fillId="10" borderId="1" xfId="1" applyNumberFormat="1" applyFont="1" applyFill="1" applyBorder="1"/>
    <xf numFmtId="164" fontId="9" fillId="10" borderId="2" xfId="1" applyNumberFormat="1" applyFont="1" applyFill="1" applyBorder="1"/>
    <xf numFmtId="164" fontId="9" fillId="10" borderId="3" xfId="1" applyNumberFormat="1" applyFont="1" applyFill="1" applyBorder="1"/>
    <xf numFmtId="164" fontId="9" fillId="10" borderId="4" xfId="1" applyNumberFormat="1" applyFont="1" applyFill="1" applyBorder="1"/>
    <xf numFmtId="164" fontId="10" fillId="10" borderId="5" xfId="0" applyNumberFormat="1" applyFont="1" applyFill="1" applyBorder="1"/>
    <xf numFmtId="164" fontId="9" fillId="10" borderId="6" xfId="1" applyNumberFormat="1" applyFont="1" applyFill="1" applyBorder="1"/>
    <xf numFmtId="164" fontId="10" fillId="11" borderId="1" xfId="0" applyNumberFormat="1" applyFont="1" applyFill="1" applyBorder="1"/>
    <xf numFmtId="164" fontId="10" fillId="11" borderId="2" xfId="0" applyNumberFormat="1" applyFont="1" applyFill="1" applyBorder="1"/>
    <xf numFmtId="164" fontId="10" fillId="11" borderId="3" xfId="0" applyNumberFormat="1" applyFont="1" applyFill="1" applyBorder="1"/>
    <xf numFmtId="164" fontId="10" fillId="11" borderId="4" xfId="0" applyNumberFormat="1" applyFont="1" applyFill="1" applyBorder="1"/>
    <xf numFmtId="164" fontId="10" fillId="11" borderId="5" xfId="0" applyNumberFormat="1" applyFont="1" applyFill="1" applyBorder="1"/>
    <xf numFmtId="164" fontId="10" fillId="11" borderId="6" xfId="0" applyNumberFormat="1" applyFont="1" applyFill="1" applyBorder="1"/>
    <xf numFmtId="0" fontId="11" fillId="0" borderId="1" xfId="0" applyFont="1" applyBorder="1"/>
    <xf numFmtId="0" fontId="12" fillId="0" borderId="10" xfId="0" applyFont="1" applyBorder="1"/>
    <xf numFmtId="164" fontId="12" fillId="0" borderId="11" xfId="1" applyNumberFormat="1" applyFont="1" applyBorder="1"/>
    <xf numFmtId="164" fontId="12" fillId="0" borderId="12" xfId="1" applyNumberFormat="1" applyFont="1" applyBorder="1"/>
    <xf numFmtId="0" fontId="12" fillId="0" borderId="12" xfId="0" applyFont="1" applyBorder="1"/>
    <xf numFmtId="164" fontId="10" fillId="10" borderId="3" xfId="0" applyNumberFormat="1" applyFont="1" applyFill="1" applyBorder="1"/>
    <xf numFmtId="0" fontId="4" fillId="0" borderId="1" xfId="0" applyFont="1" applyBorder="1"/>
    <xf numFmtId="0" fontId="4" fillId="0" borderId="3" xfId="0" applyFont="1" applyBorder="1"/>
    <xf numFmtId="0" fontId="10" fillId="9" borderId="3" xfId="0" applyFont="1" applyFill="1" applyBorder="1"/>
    <xf numFmtId="1" fontId="10" fillId="9" borderId="0" xfId="0" applyNumberFormat="1" applyFont="1" applyFill="1" applyBorder="1"/>
    <xf numFmtId="0" fontId="10" fillId="9" borderId="4" xfId="0" applyFont="1" applyFill="1" applyBorder="1"/>
    <xf numFmtId="0" fontId="0" fillId="9" borderId="3" xfId="0" applyFill="1" applyBorder="1"/>
    <xf numFmtId="0" fontId="10" fillId="9" borderId="0" xfId="0" applyFont="1" applyFill="1" applyBorder="1"/>
    <xf numFmtId="0" fontId="8" fillId="9" borderId="3" xfId="0" applyFont="1" applyFill="1" applyBorder="1"/>
    <xf numFmtId="0" fontId="8" fillId="9" borderId="4" xfId="0" applyFont="1" applyFill="1" applyBorder="1"/>
    <xf numFmtId="2" fontId="10" fillId="9" borderId="0" xfId="0" applyNumberFormat="1" applyFont="1" applyFill="1" applyBorder="1"/>
    <xf numFmtId="11" fontId="10" fillId="9" borderId="0" xfId="0" applyNumberFormat="1" applyFont="1" applyFill="1" applyBorder="1"/>
    <xf numFmtId="164" fontId="10" fillId="9" borderId="0" xfId="0" applyNumberFormat="1" applyFont="1" applyFill="1" applyBorder="1"/>
    <xf numFmtId="0" fontId="10" fillId="9" borderId="5" xfId="0" applyFont="1" applyFill="1" applyBorder="1"/>
    <xf numFmtId="0" fontId="10" fillId="9" borderId="8" xfId="0" applyFont="1" applyFill="1" applyBorder="1"/>
    <xf numFmtId="0" fontId="10" fillId="9" borderId="6" xfId="0" applyFont="1" applyFill="1" applyBorder="1"/>
    <xf numFmtId="0" fontId="11" fillId="9" borderId="13" xfId="0" applyFont="1" applyFill="1" applyBorder="1"/>
    <xf numFmtId="0" fontId="10" fillId="9" borderId="14" xfId="0" applyFont="1" applyFill="1" applyBorder="1"/>
    <xf numFmtId="0" fontId="10" fillId="9" borderId="15" xfId="0" applyFont="1" applyFill="1" applyBorder="1"/>
    <xf numFmtId="0" fontId="8" fillId="13" borderId="13" xfId="0" applyFont="1" applyFill="1" applyBorder="1"/>
    <xf numFmtId="0" fontId="10" fillId="13" borderId="14" xfId="0" applyFont="1" applyFill="1" applyBorder="1"/>
    <xf numFmtId="0" fontId="10" fillId="13" borderId="15" xfId="0" applyFont="1" applyFill="1" applyBorder="1"/>
    <xf numFmtId="0" fontId="8" fillId="13" borderId="3" xfId="0" applyFont="1" applyFill="1" applyBorder="1"/>
    <xf numFmtId="0" fontId="10" fillId="13" borderId="0" xfId="0" applyFont="1" applyFill="1" applyBorder="1"/>
    <xf numFmtId="0" fontId="10" fillId="13" borderId="4" xfId="0" applyFont="1" applyFill="1" applyBorder="1"/>
    <xf numFmtId="0" fontId="10" fillId="13" borderId="3" xfId="0" applyFont="1" applyFill="1" applyBorder="1"/>
    <xf numFmtId="0" fontId="10" fillId="13" borderId="5" xfId="0" applyFont="1" applyFill="1" applyBorder="1"/>
    <xf numFmtId="0" fontId="10" fillId="13" borderId="8" xfId="0" applyFont="1" applyFill="1" applyBorder="1"/>
    <xf numFmtId="0" fontId="10" fillId="13" borderId="6" xfId="0" applyFont="1" applyFill="1" applyBorder="1"/>
    <xf numFmtId="164" fontId="10" fillId="13" borderId="0" xfId="0" applyNumberFormat="1" applyFont="1" applyFill="1" applyBorder="1"/>
    <xf numFmtId="1" fontId="0" fillId="0" borderId="0" xfId="0" applyNumberFormat="1" applyBorder="1"/>
    <xf numFmtId="0" fontId="16" fillId="0" borderId="0" xfId="0" applyFont="1"/>
    <xf numFmtId="0" fontId="15" fillId="8" borderId="2" xfId="0" applyFont="1" applyFill="1" applyBorder="1"/>
    <xf numFmtId="0" fontId="15" fillId="0" borderId="1" xfId="0" applyFont="1" applyBorder="1"/>
    <xf numFmtId="0" fontId="16" fillId="0" borderId="2" xfId="0" applyFont="1" applyBorder="1"/>
    <xf numFmtId="0" fontId="15" fillId="8" borderId="4" xfId="0" applyFont="1" applyFill="1" applyBorder="1"/>
    <xf numFmtId="0" fontId="14" fillId="8" borderId="6" xfId="2" applyFont="1" applyFill="1" applyBorder="1"/>
    <xf numFmtId="165" fontId="10" fillId="9" borderId="0" xfId="0" applyNumberFormat="1" applyFont="1" applyFill="1" applyBorder="1"/>
    <xf numFmtId="0" fontId="8" fillId="4" borderId="29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1" fontId="10" fillId="4" borderId="11" xfId="0" applyNumberFormat="1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1" fontId="10" fillId="4" borderId="12" xfId="0" applyNumberFormat="1" applyFont="1" applyFill="1" applyBorder="1" applyAlignment="1">
      <alignment horizontal="center"/>
    </xf>
    <xf numFmtId="0" fontId="4" fillId="2" borderId="23" xfId="0" applyFont="1" applyFill="1" applyBorder="1"/>
    <xf numFmtId="0" fontId="0" fillId="0" borderId="30" xfId="0" applyBorder="1"/>
    <xf numFmtId="0" fontId="0" fillId="0" borderId="24" xfId="0" applyBorder="1"/>
    <xf numFmtId="0" fontId="4" fillId="0" borderId="25" xfId="0" applyFont="1" applyBorder="1"/>
    <xf numFmtId="0" fontId="0" fillId="0" borderId="26" xfId="0" applyBorder="1"/>
    <xf numFmtId="0" fontId="0" fillId="0" borderId="25" xfId="0" applyBorder="1"/>
    <xf numFmtId="0" fontId="0" fillId="3" borderId="0" xfId="0" applyFill="1" applyBorder="1"/>
    <xf numFmtId="0" fontId="4" fillId="2" borderId="25" xfId="0" applyFont="1" applyFill="1" applyBorder="1"/>
    <xf numFmtId="0" fontId="0" fillId="2" borderId="25" xfId="0" applyFill="1" applyBorder="1"/>
    <xf numFmtId="0" fontId="5" fillId="0" borderId="25" xfId="0" applyFont="1" applyBorder="1"/>
    <xf numFmtId="2" fontId="5" fillId="3" borderId="0" xfId="0" applyNumberFormat="1" applyFont="1" applyFill="1" applyBorder="1"/>
    <xf numFmtId="11" fontId="0" fillId="0" borderId="0" xfId="0" applyNumberFormat="1" applyBorder="1"/>
    <xf numFmtId="0" fontId="5" fillId="0" borderId="0" xfId="0" applyFont="1" applyBorder="1"/>
    <xf numFmtId="0" fontId="5" fillId="0" borderId="0" xfId="0" quotePrefix="1" applyFont="1" applyBorder="1"/>
    <xf numFmtId="0" fontId="0" fillId="0" borderId="27" xfId="0" applyBorder="1"/>
    <xf numFmtId="0" fontId="0" fillId="0" borderId="31" xfId="0" applyBorder="1"/>
    <xf numFmtId="0" fontId="0" fillId="0" borderId="28" xfId="0" applyBorder="1"/>
    <xf numFmtId="0" fontId="2" fillId="0" borderId="0" xfId="0" applyFont="1"/>
    <xf numFmtId="0" fontId="2" fillId="0" borderId="0" xfId="0" applyFont="1" applyFill="1" applyBorder="1"/>
    <xf numFmtId="2" fontId="5" fillId="0" borderId="0" xfId="0" applyNumberFormat="1" applyFont="1" applyBorder="1"/>
    <xf numFmtId="1" fontId="17" fillId="17" borderId="32" xfId="3" applyNumberFormat="1"/>
    <xf numFmtId="0" fontId="17" fillId="17" borderId="32" xfId="3"/>
    <xf numFmtId="0" fontId="10" fillId="8" borderId="3" xfId="0" applyFont="1" applyFill="1" applyBorder="1" applyAlignment="1">
      <alignment wrapText="1"/>
    </xf>
    <xf numFmtId="0" fontId="1" fillId="8" borderId="5" xfId="2" applyFont="1" applyFill="1" applyBorder="1"/>
    <xf numFmtId="0" fontId="11" fillId="0" borderId="13" xfId="0" applyFont="1" applyBorder="1"/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0" fillId="6" borderId="1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0" fillId="7" borderId="4" xfId="0" applyFont="1" applyFill="1" applyBorder="1" applyAlignment="1">
      <alignment horizontal="left"/>
    </xf>
    <xf numFmtId="0" fontId="18" fillId="7" borderId="4" xfId="0" applyFont="1" applyFill="1" applyBorder="1" applyAlignment="1">
      <alignment horizontal="left"/>
    </xf>
    <xf numFmtId="0" fontId="10" fillId="7" borderId="5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1" fontId="10" fillId="14" borderId="16" xfId="0" applyNumberFormat="1" applyFont="1" applyFill="1" applyBorder="1" applyAlignment="1">
      <alignment horizontal="center"/>
    </xf>
    <xf numFmtId="1" fontId="10" fillId="14" borderId="17" xfId="0" applyNumberFormat="1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1" fontId="10" fillId="6" borderId="17" xfId="0" applyNumberFormat="1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10" fillId="16" borderId="17" xfId="0" applyFont="1" applyFill="1" applyBorder="1" applyAlignment="1">
      <alignment horizontal="center"/>
    </xf>
    <xf numFmtId="1" fontId="10" fillId="5" borderId="17" xfId="0" applyNumberFormat="1" applyFont="1" applyFill="1" applyBorder="1" applyAlignment="1">
      <alignment horizontal="center"/>
    </xf>
    <xf numFmtId="165" fontId="10" fillId="5" borderId="20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1" fontId="10" fillId="14" borderId="20" xfId="0" applyNumberFormat="1" applyFont="1" applyFill="1" applyBorder="1" applyAlignment="1">
      <alignment horizontal="center"/>
    </xf>
    <xf numFmtId="2" fontId="10" fillId="14" borderId="20" xfId="0" applyNumberFormat="1" applyFont="1" applyFill="1" applyBorder="1" applyAlignment="1">
      <alignment horizontal="center"/>
    </xf>
    <xf numFmtId="11" fontId="10" fillId="14" borderId="20" xfId="0" applyNumberFormat="1" applyFont="1" applyFill="1" applyBorder="1" applyAlignment="1">
      <alignment horizontal="center"/>
    </xf>
    <xf numFmtId="11" fontId="10" fillId="16" borderId="17" xfId="0" applyNumberFormat="1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1" fontId="11" fillId="14" borderId="21" xfId="0" applyNumberFormat="1" applyFont="1" applyFill="1" applyBorder="1" applyAlignment="1">
      <alignment horizontal="center"/>
    </xf>
    <xf numFmtId="0" fontId="10" fillId="16" borderId="18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0" fillId="8" borderId="1" xfId="0" applyFont="1" applyFill="1" applyBorder="1" applyAlignment="1"/>
    <xf numFmtId="0" fontId="10" fillId="8" borderId="3" xfId="0" applyFont="1" applyFill="1" applyBorder="1" applyAlignment="1"/>
    <xf numFmtId="0" fontId="0" fillId="8" borderId="0" xfId="0" applyFill="1" applyBorder="1"/>
    <xf numFmtId="0" fontId="0" fillId="8" borderId="8" xfId="0" applyFill="1" applyBorder="1"/>
    <xf numFmtId="1" fontId="0" fillId="8" borderId="22" xfId="0" applyNumberForma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1" fontId="11" fillId="8" borderId="22" xfId="0" applyNumberFormat="1" applyFont="1" applyFill="1" applyBorder="1" applyAlignment="1">
      <alignment horizontal="center"/>
    </xf>
    <xf numFmtId="1" fontId="0" fillId="8" borderId="33" xfId="0" applyNumberFormat="1" applyFill="1" applyBorder="1" applyAlignment="1">
      <alignment horizontal="center"/>
    </xf>
    <xf numFmtId="0" fontId="1" fillId="15" borderId="34" xfId="2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/>
    </xf>
  </cellXfs>
  <cellStyles count="4">
    <cellStyle name="Calculation" xfId="3" builtinId="22"/>
    <cellStyle name="Good" xfId="2" builtinId="26"/>
    <cellStyle name="Normal" xfId="0" builtinId="0"/>
    <cellStyle name="Normal_ELE101-ELE102_BHP_measurements_and_forecast" xfId="1"/>
  </cellStyles>
  <dxfs count="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0318581806145"/>
          <c:y val="4.0983606557377046E-2"/>
          <c:w val="0.80377545436634257"/>
          <c:h val="0.77029035219752273"/>
        </c:manualLayout>
      </c:layout>
      <c:scatterChart>
        <c:scatterStyle val="smoothMarker"/>
        <c:varyColors val="0"/>
        <c:ser>
          <c:idx val="2"/>
          <c:order val="0"/>
          <c:tx>
            <c:v>hydrostatische druk</c:v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gradienten!$C$2:$C$35</c:f>
              <c:numCache>
                <c:formatCode>0</c:formatCode>
                <c:ptCount val="34"/>
                <c:pt idx="0">
                  <c:v>0</c:v>
                </c:pt>
                <c:pt idx="1">
                  <c:v>10.512129380053908</c:v>
                </c:pt>
                <c:pt idx="2">
                  <c:v>21.024258760107816</c:v>
                </c:pt>
                <c:pt idx="3">
                  <c:v>31.536388140161726</c:v>
                </c:pt>
                <c:pt idx="4">
                  <c:v>42.048517520215633</c:v>
                </c:pt>
                <c:pt idx="5">
                  <c:v>52.560646900269539</c:v>
                </c:pt>
                <c:pt idx="6">
                  <c:v>63.072776280323453</c:v>
                </c:pt>
                <c:pt idx="7">
                  <c:v>73.584905660377359</c:v>
                </c:pt>
                <c:pt idx="8">
                  <c:v>84.097035040431265</c:v>
                </c:pt>
                <c:pt idx="9">
                  <c:v>94.609164420485172</c:v>
                </c:pt>
                <c:pt idx="10">
                  <c:v>105.12129380053908</c:v>
                </c:pt>
                <c:pt idx="11">
                  <c:v>115.633423180593</c:v>
                </c:pt>
                <c:pt idx="12">
                  <c:v>126.14555256064691</c:v>
                </c:pt>
                <c:pt idx="13">
                  <c:v>136.6576819407008</c:v>
                </c:pt>
                <c:pt idx="14">
                  <c:v>147.16981132075472</c:v>
                </c:pt>
                <c:pt idx="15">
                  <c:v>157.68194070080864</c:v>
                </c:pt>
                <c:pt idx="16">
                  <c:v>168.19407008086253</c:v>
                </c:pt>
                <c:pt idx="17">
                  <c:v>178.70619946091645</c:v>
                </c:pt>
                <c:pt idx="18">
                  <c:v>189.21832884097034</c:v>
                </c:pt>
                <c:pt idx="19">
                  <c:v>199.73045822102426</c:v>
                </c:pt>
                <c:pt idx="20">
                  <c:v>210.24258760107816</c:v>
                </c:pt>
                <c:pt idx="21">
                  <c:v>220.75471698113208</c:v>
                </c:pt>
                <c:pt idx="22">
                  <c:v>231.266846361186</c:v>
                </c:pt>
                <c:pt idx="23">
                  <c:v>241.77897574123989</c:v>
                </c:pt>
                <c:pt idx="24">
                  <c:v>252.29110512129381</c:v>
                </c:pt>
                <c:pt idx="25">
                  <c:v>262.80323450134773</c:v>
                </c:pt>
                <c:pt idx="26">
                  <c:v>273.31536388140159</c:v>
                </c:pt>
                <c:pt idx="27">
                  <c:v>283.82749326145552</c:v>
                </c:pt>
                <c:pt idx="28">
                  <c:v>294.33962264150944</c:v>
                </c:pt>
                <c:pt idx="29">
                  <c:v>304.85175202156336</c:v>
                </c:pt>
                <c:pt idx="30">
                  <c:v>315.36388140161728</c:v>
                </c:pt>
                <c:pt idx="31">
                  <c:v>325.87601078167114</c:v>
                </c:pt>
                <c:pt idx="32">
                  <c:v>336.38814016172506</c:v>
                </c:pt>
                <c:pt idx="33">
                  <c:v>346.90026954177898</c:v>
                </c:pt>
              </c:numCache>
            </c:numRef>
          </c:xVal>
          <c:yVal>
            <c:numRef>
              <c:f>gradienten!$A$2:$A$35</c:f>
              <c:numCache>
                <c:formatCode>General</c:formatCode>
                <c:ptCount val="34"/>
                <c:pt idx="0">
                  <c:v>0</c:v>
                </c:pt>
                <c:pt idx="1">
                  <c:v>-100</c:v>
                </c:pt>
                <c:pt idx="2">
                  <c:v>-200</c:v>
                </c:pt>
                <c:pt idx="3">
                  <c:v>-300</c:v>
                </c:pt>
                <c:pt idx="4">
                  <c:v>-400</c:v>
                </c:pt>
                <c:pt idx="5">
                  <c:v>-500</c:v>
                </c:pt>
                <c:pt idx="6">
                  <c:v>-600</c:v>
                </c:pt>
                <c:pt idx="7">
                  <c:v>-700</c:v>
                </c:pt>
                <c:pt idx="8">
                  <c:v>-800</c:v>
                </c:pt>
                <c:pt idx="9">
                  <c:v>-900</c:v>
                </c:pt>
                <c:pt idx="10">
                  <c:v>-1000</c:v>
                </c:pt>
                <c:pt idx="11">
                  <c:v>-1100</c:v>
                </c:pt>
                <c:pt idx="12">
                  <c:v>-1200</c:v>
                </c:pt>
                <c:pt idx="13">
                  <c:v>-1300</c:v>
                </c:pt>
                <c:pt idx="14">
                  <c:v>-1400</c:v>
                </c:pt>
                <c:pt idx="15">
                  <c:v>-1500</c:v>
                </c:pt>
                <c:pt idx="16">
                  <c:v>-1600</c:v>
                </c:pt>
                <c:pt idx="17">
                  <c:v>-1700</c:v>
                </c:pt>
                <c:pt idx="18">
                  <c:v>-1800</c:v>
                </c:pt>
                <c:pt idx="19">
                  <c:v>-1900</c:v>
                </c:pt>
                <c:pt idx="20">
                  <c:v>-2000</c:v>
                </c:pt>
                <c:pt idx="21">
                  <c:v>-2100</c:v>
                </c:pt>
                <c:pt idx="22">
                  <c:v>-2200</c:v>
                </c:pt>
                <c:pt idx="23">
                  <c:v>-2300</c:v>
                </c:pt>
                <c:pt idx="24">
                  <c:v>-2400</c:v>
                </c:pt>
                <c:pt idx="25">
                  <c:v>-2500</c:v>
                </c:pt>
                <c:pt idx="26">
                  <c:v>-2600</c:v>
                </c:pt>
                <c:pt idx="27">
                  <c:v>-2700</c:v>
                </c:pt>
                <c:pt idx="28">
                  <c:v>-2800</c:v>
                </c:pt>
                <c:pt idx="29">
                  <c:v>-2900</c:v>
                </c:pt>
                <c:pt idx="30">
                  <c:v>-3000</c:v>
                </c:pt>
                <c:pt idx="31">
                  <c:v>-3100</c:v>
                </c:pt>
                <c:pt idx="32">
                  <c:v>-3200</c:v>
                </c:pt>
                <c:pt idx="33">
                  <c:v>-3300</c:v>
                </c:pt>
              </c:numCache>
            </c:numRef>
          </c:yVal>
          <c:smooth val="1"/>
        </c:ser>
        <c:ser>
          <c:idx val="3"/>
          <c:order val="1"/>
          <c:tx>
            <c:v>lithostatische druk (vert)</c:v>
          </c:tx>
          <c:spPr>
            <a:ln w="381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gradienten!$D$2:$D$35</c:f>
              <c:numCache>
                <c:formatCode>0</c:formatCode>
                <c:ptCount val="34"/>
                <c:pt idx="0">
                  <c:v>0</c:v>
                </c:pt>
                <c:pt idx="1">
                  <c:v>22.5</c:v>
                </c:pt>
                <c:pt idx="2">
                  <c:v>45</c:v>
                </c:pt>
                <c:pt idx="3">
                  <c:v>67.5</c:v>
                </c:pt>
                <c:pt idx="4">
                  <c:v>90</c:v>
                </c:pt>
                <c:pt idx="5">
                  <c:v>112.5</c:v>
                </c:pt>
                <c:pt idx="6">
                  <c:v>135</c:v>
                </c:pt>
                <c:pt idx="7">
                  <c:v>157.5</c:v>
                </c:pt>
                <c:pt idx="8">
                  <c:v>180</c:v>
                </c:pt>
                <c:pt idx="9">
                  <c:v>202.5</c:v>
                </c:pt>
                <c:pt idx="10">
                  <c:v>225</c:v>
                </c:pt>
                <c:pt idx="11">
                  <c:v>247.5</c:v>
                </c:pt>
                <c:pt idx="12">
                  <c:v>270</c:v>
                </c:pt>
                <c:pt idx="13">
                  <c:v>292.5</c:v>
                </c:pt>
                <c:pt idx="14">
                  <c:v>315</c:v>
                </c:pt>
                <c:pt idx="15">
                  <c:v>337.5</c:v>
                </c:pt>
                <c:pt idx="16">
                  <c:v>360</c:v>
                </c:pt>
                <c:pt idx="17">
                  <c:v>382.5</c:v>
                </c:pt>
                <c:pt idx="18">
                  <c:v>405</c:v>
                </c:pt>
                <c:pt idx="19">
                  <c:v>427.5</c:v>
                </c:pt>
                <c:pt idx="20">
                  <c:v>450</c:v>
                </c:pt>
                <c:pt idx="21">
                  <c:v>472.5</c:v>
                </c:pt>
                <c:pt idx="22">
                  <c:v>495</c:v>
                </c:pt>
                <c:pt idx="23">
                  <c:v>517.5</c:v>
                </c:pt>
                <c:pt idx="24">
                  <c:v>540</c:v>
                </c:pt>
                <c:pt idx="25">
                  <c:v>562.5</c:v>
                </c:pt>
                <c:pt idx="26">
                  <c:v>585</c:v>
                </c:pt>
                <c:pt idx="27">
                  <c:v>607.5</c:v>
                </c:pt>
                <c:pt idx="28">
                  <c:v>630</c:v>
                </c:pt>
                <c:pt idx="29">
                  <c:v>652.5</c:v>
                </c:pt>
                <c:pt idx="30">
                  <c:v>675</c:v>
                </c:pt>
                <c:pt idx="31">
                  <c:v>697.5</c:v>
                </c:pt>
                <c:pt idx="32">
                  <c:v>720</c:v>
                </c:pt>
                <c:pt idx="33">
                  <c:v>742.5</c:v>
                </c:pt>
              </c:numCache>
            </c:numRef>
          </c:xVal>
          <c:yVal>
            <c:numRef>
              <c:f>gradienten!$A$2:$A$35</c:f>
              <c:numCache>
                <c:formatCode>General</c:formatCode>
                <c:ptCount val="34"/>
                <c:pt idx="0">
                  <c:v>0</c:v>
                </c:pt>
                <c:pt idx="1">
                  <c:v>-100</c:v>
                </c:pt>
                <c:pt idx="2">
                  <c:v>-200</c:v>
                </c:pt>
                <c:pt idx="3">
                  <c:v>-300</c:v>
                </c:pt>
                <c:pt idx="4">
                  <c:v>-400</c:v>
                </c:pt>
                <c:pt idx="5">
                  <c:v>-500</c:v>
                </c:pt>
                <c:pt idx="6">
                  <c:v>-600</c:v>
                </c:pt>
                <c:pt idx="7">
                  <c:v>-700</c:v>
                </c:pt>
                <c:pt idx="8">
                  <c:v>-800</c:v>
                </c:pt>
                <c:pt idx="9">
                  <c:v>-900</c:v>
                </c:pt>
                <c:pt idx="10">
                  <c:v>-1000</c:v>
                </c:pt>
                <c:pt idx="11">
                  <c:v>-1100</c:v>
                </c:pt>
                <c:pt idx="12">
                  <c:v>-1200</c:v>
                </c:pt>
                <c:pt idx="13">
                  <c:v>-1300</c:v>
                </c:pt>
                <c:pt idx="14">
                  <c:v>-1400</c:v>
                </c:pt>
                <c:pt idx="15">
                  <c:v>-1500</c:v>
                </c:pt>
                <c:pt idx="16">
                  <c:v>-1600</c:v>
                </c:pt>
                <c:pt idx="17">
                  <c:v>-1700</c:v>
                </c:pt>
                <c:pt idx="18">
                  <c:v>-1800</c:v>
                </c:pt>
                <c:pt idx="19">
                  <c:v>-1900</c:v>
                </c:pt>
                <c:pt idx="20">
                  <c:v>-2000</c:v>
                </c:pt>
                <c:pt idx="21">
                  <c:v>-2100</c:v>
                </c:pt>
                <c:pt idx="22">
                  <c:v>-2200</c:v>
                </c:pt>
                <c:pt idx="23">
                  <c:v>-2300</c:v>
                </c:pt>
                <c:pt idx="24">
                  <c:v>-2400</c:v>
                </c:pt>
                <c:pt idx="25">
                  <c:v>-2500</c:v>
                </c:pt>
                <c:pt idx="26">
                  <c:v>-2600</c:v>
                </c:pt>
                <c:pt idx="27">
                  <c:v>-2700</c:v>
                </c:pt>
                <c:pt idx="28">
                  <c:v>-2800</c:v>
                </c:pt>
                <c:pt idx="29">
                  <c:v>-2900</c:v>
                </c:pt>
                <c:pt idx="30">
                  <c:v>-3000</c:v>
                </c:pt>
                <c:pt idx="31">
                  <c:v>-3100</c:v>
                </c:pt>
                <c:pt idx="32">
                  <c:v>-3200</c:v>
                </c:pt>
                <c:pt idx="33">
                  <c:v>-3300</c:v>
                </c:pt>
              </c:numCache>
            </c:numRef>
          </c:yVal>
          <c:smooth val="1"/>
        </c:ser>
        <c:ser>
          <c:idx val="5"/>
          <c:order val="2"/>
          <c:tx>
            <c:v>Shmin</c:v>
          </c:tx>
          <c:spPr>
            <a:ln w="31750">
              <a:solidFill>
                <a:srgbClr val="92D050"/>
              </a:solidFill>
              <a:prstDash val="solid"/>
            </a:ln>
          </c:spPr>
          <c:marker>
            <c:symbol val="none"/>
          </c:marker>
          <c:xVal>
            <c:numRef>
              <c:f>gradienten!$E$2:$E$35</c:f>
              <c:numCache>
                <c:formatCode>0</c:formatCode>
                <c:ptCount val="34"/>
                <c:pt idx="0">
                  <c:v>0</c:v>
                </c:pt>
                <c:pt idx="1">
                  <c:v>16</c:v>
                </c:pt>
                <c:pt idx="2">
                  <c:v>32</c:v>
                </c:pt>
                <c:pt idx="3">
                  <c:v>48</c:v>
                </c:pt>
                <c:pt idx="4">
                  <c:v>64</c:v>
                </c:pt>
                <c:pt idx="5">
                  <c:v>80</c:v>
                </c:pt>
                <c:pt idx="6">
                  <c:v>96</c:v>
                </c:pt>
                <c:pt idx="7">
                  <c:v>112</c:v>
                </c:pt>
                <c:pt idx="8">
                  <c:v>128</c:v>
                </c:pt>
                <c:pt idx="9">
                  <c:v>144</c:v>
                </c:pt>
                <c:pt idx="10">
                  <c:v>160</c:v>
                </c:pt>
                <c:pt idx="11">
                  <c:v>176</c:v>
                </c:pt>
                <c:pt idx="12">
                  <c:v>192</c:v>
                </c:pt>
                <c:pt idx="13">
                  <c:v>208</c:v>
                </c:pt>
                <c:pt idx="14">
                  <c:v>224</c:v>
                </c:pt>
                <c:pt idx="15">
                  <c:v>240</c:v>
                </c:pt>
                <c:pt idx="16">
                  <c:v>256</c:v>
                </c:pt>
                <c:pt idx="17">
                  <c:v>272</c:v>
                </c:pt>
                <c:pt idx="18">
                  <c:v>288</c:v>
                </c:pt>
                <c:pt idx="19">
                  <c:v>304</c:v>
                </c:pt>
                <c:pt idx="20">
                  <c:v>320</c:v>
                </c:pt>
                <c:pt idx="21">
                  <c:v>336</c:v>
                </c:pt>
                <c:pt idx="22">
                  <c:v>352</c:v>
                </c:pt>
                <c:pt idx="23">
                  <c:v>368</c:v>
                </c:pt>
                <c:pt idx="24">
                  <c:v>384</c:v>
                </c:pt>
                <c:pt idx="25">
                  <c:v>400</c:v>
                </c:pt>
                <c:pt idx="26">
                  <c:v>416</c:v>
                </c:pt>
                <c:pt idx="27">
                  <c:v>432</c:v>
                </c:pt>
                <c:pt idx="28">
                  <c:v>448</c:v>
                </c:pt>
                <c:pt idx="29">
                  <c:v>464</c:v>
                </c:pt>
                <c:pt idx="30">
                  <c:v>480</c:v>
                </c:pt>
                <c:pt idx="31">
                  <c:v>496</c:v>
                </c:pt>
                <c:pt idx="32">
                  <c:v>512</c:v>
                </c:pt>
                <c:pt idx="33">
                  <c:v>528</c:v>
                </c:pt>
              </c:numCache>
            </c:numRef>
          </c:xVal>
          <c:yVal>
            <c:numRef>
              <c:f>gradienten!$A$2:$A$35</c:f>
              <c:numCache>
                <c:formatCode>General</c:formatCode>
                <c:ptCount val="34"/>
                <c:pt idx="0">
                  <c:v>0</c:v>
                </c:pt>
                <c:pt idx="1">
                  <c:v>-100</c:v>
                </c:pt>
                <c:pt idx="2">
                  <c:v>-200</c:v>
                </c:pt>
                <c:pt idx="3">
                  <c:v>-300</c:v>
                </c:pt>
                <c:pt idx="4">
                  <c:v>-400</c:v>
                </c:pt>
                <c:pt idx="5">
                  <c:v>-500</c:v>
                </c:pt>
                <c:pt idx="6">
                  <c:v>-600</c:v>
                </c:pt>
                <c:pt idx="7">
                  <c:v>-700</c:v>
                </c:pt>
                <c:pt idx="8">
                  <c:v>-800</c:v>
                </c:pt>
                <c:pt idx="9">
                  <c:v>-900</c:v>
                </c:pt>
                <c:pt idx="10">
                  <c:v>-1000</c:v>
                </c:pt>
                <c:pt idx="11">
                  <c:v>-1100</c:v>
                </c:pt>
                <c:pt idx="12">
                  <c:v>-1200</c:v>
                </c:pt>
                <c:pt idx="13">
                  <c:v>-1300</c:v>
                </c:pt>
                <c:pt idx="14">
                  <c:v>-1400</c:v>
                </c:pt>
                <c:pt idx="15">
                  <c:v>-1500</c:v>
                </c:pt>
                <c:pt idx="16">
                  <c:v>-1600</c:v>
                </c:pt>
                <c:pt idx="17">
                  <c:v>-1700</c:v>
                </c:pt>
                <c:pt idx="18">
                  <c:v>-1800</c:v>
                </c:pt>
                <c:pt idx="19">
                  <c:v>-1900</c:v>
                </c:pt>
                <c:pt idx="20">
                  <c:v>-2000</c:v>
                </c:pt>
                <c:pt idx="21">
                  <c:v>-2100</c:v>
                </c:pt>
                <c:pt idx="22">
                  <c:v>-2200</c:v>
                </c:pt>
                <c:pt idx="23">
                  <c:v>-2300</c:v>
                </c:pt>
                <c:pt idx="24">
                  <c:v>-2400</c:v>
                </c:pt>
                <c:pt idx="25">
                  <c:v>-2500</c:v>
                </c:pt>
                <c:pt idx="26">
                  <c:v>-2600</c:v>
                </c:pt>
                <c:pt idx="27">
                  <c:v>-2700</c:v>
                </c:pt>
                <c:pt idx="28">
                  <c:v>-2800</c:v>
                </c:pt>
                <c:pt idx="29">
                  <c:v>-2900</c:v>
                </c:pt>
                <c:pt idx="30">
                  <c:v>-3000</c:v>
                </c:pt>
                <c:pt idx="31">
                  <c:v>-3100</c:v>
                </c:pt>
                <c:pt idx="32">
                  <c:v>-3200</c:v>
                </c:pt>
                <c:pt idx="33">
                  <c:v>-3300</c:v>
                </c:pt>
              </c:numCache>
            </c:numRef>
          </c:yVal>
          <c:smooth val="1"/>
        </c:ser>
        <c:ser>
          <c:idx val="10"/>
          <c:order val="3"/>
          <c:tx>
            <c:v>Shmin thermal</c:v>
          </c:tx>
          <c:spPr>
            <a:ln w="381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gradienten!$F$11:$F$35</c:f>
              <c:numCache>
                <c:formatCode>0</c:formatCode>
                <c:ptCount val="25"/>
                <c:pt idx="0">
                  <c:v>138.93333333333334</c:v>
                </c:pt>
                <c:pt idx="1">
                  <c:v>150.66666666666666</c:v>
                </c:pt>
                <c:pt idx="2">
                  <c:v>162.4</c:v>
                </c:pt>
                <c:pt idx="3">
                  <c:v>174.13333333333333</c:v>
                </c:pt>
                <c:pt idx="4">
                  <c:v>185.86666666666667</c:v>
                </c:pt>
                <c:pt idx="5">
                  <c:v>197.6</c:v>
                </c:pt>
                <c:pt idx="6">
                  <c:v>209.33333333333334</c:v>
                </c:pt>
                <c:pt idx="7">
                  <c:v>221.06666666666666</c:v>
                </c:pt>
                <c:pt idx="8">
                  <c:v>232.79999999999998</c:v>
                </c:pt>
                <c:pt idx="9">
                  <c:v>244.53333333333333</c:v>
                </c:pt>
                <c:pt idx="10">
                  <c:v>256.26666666666665</c:v>
                </c:pt>
                <c:pt idx="11">
                  <c:v>268</c:v>
                </c:pt>
                <c:pt idx="12">
                  <c:v>279.73333333333335</c:v>
                </c:pt>
                <c:pt idx="13">
                  <c:v>291.46666666666664</c:v>
                </c:pt>
                <c:pt idx="14">
                  <c:v>303.2</c:v>
                </c:pt>
                <c:pt idx="15">
                  <c:v>314.93333333333334</c:v>
                </c:pt>
                <c:pt idx="16">
                  <c:v>326.66666666666669</c:v>
                </c:pt>
                <c:pt idx="17">
                  <c:v>338.4</c:v>
                </c:pt>
                <c:pt idx="18">
                  <c:v>350.13333333333333</c:v>
                </c:pt>
                <c:pt idx="19">
                  <c:v>361.86666666666667</c:v>
                </c:pt>
                <c:pt idx="20">
                  <c:v>373.6</c:v>
                </c:pt>
                <c:pt idx="21">
                  <c:v>385.33333333333331</c:v>
                </c:pt>
                <c:pt idx="22">
                  <c:v>397.06666666666666</c:v>
                </c:pt>
                <c:pt idx="23">
                  <c:v>408.79999999999995</c:v>
                </c:pt>
                <c:pt idx="24">
                  <c:v>420.5333333333333</c:v>
                </c:pt>
              </c:numCache>
            </c:numRef>
          </c:xVal>
          <c:yVal>
            <c:numRef>
              <c:f>gradienten!$A$11:$A$35</c:f>
              <c:numCache>
                <c:formatCode>General</c:formatCode>
                <c:ptCount val="25"/>
                <c:pt idx="0">
                  <c:v>-900</c:v>
                </c:pt>
                <c:pt idx="1">
                  <c:v>-1000</c:v>
                </c:pt>
                <c:pt idx="2">
                  <c:v>-1100</c:v>
                </c:pt>
                <c:pt idx="3">
                  <c:v>-1200</c:v>
                </c:pt>
                <c:pt idx="4">
                  <c:v>-1300</c:v>
                </c:pt>
                <c:pt idx="5">
                  <c:v>-1400</c:v>
                </c:pt>
                <c:pt idx="6">
                  <c:v>-1500</c:v>
                </c:pt>
                <c:pt idx="7">
                  <c:v>-1600</c:v>
                </c:pt>
                <c:pt idx="8">
                  <c:v>-1700</c:v>
                </c:pt>
                <c:pt idx="9">
                  <c:v>-1800</c:v>
                </c:pt>
                <c:pt idx="10">
                  <c:v>-1900</c:v>
                </c:pt>
                <c:pt idx="11">
                  <c:v>-2000</c:v>
                </c:pt>
                <c:pt idx="12">
                  <c:v>-2100</c:v>
                </c:pt>
                <c:pt idx="13">
                  <c:v>-2200</c:v>
                </c:pt>
                <c:pt idx="14">
                  <c:v>-2300</c:v>
                </c:pt>
                <c:pt idx="15">
                  <c:v>-2400</c:v>
                </c:pt>
                <c:pt idx="16">
                  <c:v>-2500</c:v>
                </c:pt>
                <c:pt idx="17">
                  <c:v>-2600</c:v>
                </c:pt>
                <c:pt idx="18">
                  <c:v>-2700</c:v>
                </c:pt>
                <c:pt idx="19">
                  <c:v>-2800</c:v>
                </c:pt>
                <c:pt idx="20">
                  <c:v>-2900</c:v>
                </c:pt>
                <c:pt idx="21">
                  <c:v>-3000</c:v>
                </c:pt>
                <c:pt idx="22">
                  <c:v>-3100</c:v>
                </c:pt>
                <c:pt idx="23">
                  <c:v>-3200</c:v>
                </c:pt>
                <c:pt idx="24">
                  <c:v>-3300</c:v>
                </c:pt>
              </c:numCache>
            </c:numRef>
          </c:yVal>
          <c:smooth val="1"/>
        </c:ser>
        <c:ser>
          <c:idx val="4"/>
          <c:order val="4"/>
          <c:tx>
            <c:v>aquifer level</c:v>
          </c:tx>
          <c:marker>
            <c:symbol val="dash"/>
            <c:size val="7"/>
          </c:marker>
          <c:xVal>
            <c:numRef>
              <c:f>gradienten!$O$46:$O$47</c:f>
              <c:numCache>
                <c:formatCode>General</c:formatCode>
                <c:ptCount val="2"/>
                <c:pt idx="0" formatCode="0">
                  <c:v>800</c:v>
                </c:pt>
                <c:pt idx="1">
                  <c:v>0</c:v>
                </c:pt>
              </c:numCache>
            </c:numRef>
          </c:xVal>
          <c:yVal>
            <c:numRef>
              <c:f>gradienten!$N$46:$N$47</c:f>
              <c:numCache>
                <c:formatCode>0</c:formatCode>
                <c:ptCount val="2"/>
                <c:pt idx="0">
                  <c:v>-1842.5</c:v>
                </c:pt>
                <c:pt idx="1">
                  <c:v>-1842.5</c:v>
                </c:pt>
              </c:numCache>
            </c:numRef>
          </c:yVal>
          <c:smooth val="1"/>
        </c:ser>
        <c:ser>
          <c:idx val="6"/>
          <c:order val="5"/>
          <c:tx>
            <c:v>Druk Productieput</c:v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gradienten!$X$2:$X$5</c:f>
              <c:numCache>
                <c:formatCode>0</c:formatCode>
                <c:ptCount val="4"/>
                <c:pt idx="0" formatCode="General">
                  <c:v>0</c:v>
                </c:pt>
                <c:pt idx="1">
                  <c:v>52.459016393442624</c:v>
                </c:pt>
                <c:pt idx="2">
                  <c:v>35.049016393442628</c:v>
                </c:pt>
                <c:pt idx="3">
                  <c:v>174.59</c:v>
                </c:pt>
              </c:numCache>
            </c:numRef>
          </c:xVal>
          <c:yVal>
            <c:numRef>
              <c:f>gradienten!$Y$2:$Y$5</c:f>
              <c:numCache>
                <c:formatCode>0</c:formatCode>
                <c:ptCount val="4"/>
                <c:pt idx="0" formatCode="General">
                  <c:v>0</c:v>
                </c:pt>
                <c:pt idx="1">
                  <c:v>-500</c:v>
                </c:pt>
                <c:pt idx="2">
                  <c:v>-501</c:v>
                </c:pt>
                <c:pt idx="3">
                  <c:v>-1830</c:v>
                </c:pt>
              </c:numCache>
            </c:numRef>
          </c:yVal>
          <c:smooth val="0"/>
        </c:ser>
        <c:ser>
          <c:idx val="7"/>
          <c:order val="6"/>
          <c:tx>
            <c:v>Druk Injectieput</c:v>
          </c:tx>
          <c:spPr>
            <a:ln w="57150">
              <a:solidFill>
                <a:srgbClr val="00B0F0"/>
              </a:solidFill>
              <a:round/>
            </a:ln>
          </c:spPr>
          <c:marker>
            <c:symbol val="none"/>
          </c:marker>
          <c:xVal>
            <c:numRef>
              <c:f>gradienten!$AA$2:$AA$4</c:f>
              <c:numCache>
                <c:formatCode>0</c:formatCode>
                <c:ptCount val="3"/>
                <c:pt idx="0">
                  <c:v>44.370000000000005</c:v>
                </c:pt>
                <c:pt idx="1">
                  <c:v>241</c:v>
                </c:pt>
              </c:numCache>
            </c:numRef>
          </c:xVal>
          <c:yVal>
            <c:numRef>
              <c:f>gradienten!$AB$2:$AB$4</c:f>
              <c:numCache>
                <c:formatCode>0</c:formatCode>
                <c:ptCount val="3"/>
                <c:pt idx="0" formatCode="General">
                  <c:v>0</c:v>
                </c:pt>
                <c:pt idx="1">
                  <c:v>-1855</c:v>
                </c:pt>
              </c:numCache>
            </c:numRef>
          </c:yVal>
          <c:smooth val="0"/>
        </c:ser>
        <c:ser>
          <c:idx val="0"/>
          <c:order val="7"/>
          <c:tx>
            <c:v>Maximum pressure (SodM)</c:v>
          </c:tx>
          <c:spPr>
            <a:ln w="444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gradienten!$AD$2:$AD$35</c:f>
              <c:numCache>
                <c:formatCode>General</c:formatCode>
                <c:ptCount val="34"/>
                <c:pt idx="0">
                  <c:v>0</c:v>
                </c:pt>
                <c:pt idx="1">
                  <c:v>13.5</c:v>
                </c:pt>
                <c:pt idx="2">
                  <c:v>27</c:v>
                </c:pt>
                <c:pt idx="3">
                  <c:v>40.5</c:v>
                </c:pt>
                <c:pt idx="4">
                  <c:v>54</c:v>
                </c:pt>
                <c:pt idx="5">
                  <c:v>67.5</c:v>
                </c:pt>
                <c:pt idx="6">
                  <c:v>81</c:v>
                </c:pt>
                <c:pt idx="7">
                  <c:v>94.5</c:v>
                </c:pt>
                <c:pt idx="8">
                  <c:v>108</c:v>
                </c:pt>
                <c:pt idx="9">
                  <c:v>121.50000000000001</c:v>
                </c:pt>
                <c:pt idx="10">
                  <c:v>135</c:v>
                </c:pt>
                <c:pt idx="11">
                  <c:v>148.5</c:v>
                </c:pt>
                <c:pt idx="12">
                  <c:v>162</c:v>
                </c:pt>
                <c:pt idx="13">
                  <c:v>175.5</c:v>
                </c:pt>
                <c:pt idx="14">
                  <c:v>189</c:v>
                </c:pt>
                <c:pt idx="15">
                  <c:v>202.5</c:v>
                </c:pt>
                <c:pt idx="16">
                  <c:v>216</c:v>
                </c:pt>
                <c:pt idx="17">
                  <c:v>229.50000000000003</c:v>
                </c:pt>
                <c:pt idx="18">
                  <c:v>243.00000000000003</c:v>
                </c:pt>
                <c:pt idx="19">
                  <c:v>256.5</c:v>
                </c:pt>
                <c:pt idx="20">
                  <c:v>270</c:v>
                </c:pt>
                <c:pt idx="21">
                  <c:v>283.5</c:v>
                </c:pt>
                <c:pt idx="22">
                  <c:v>297</c:v>
                </c:pt>
                <c:pt idx="23">
                  <c:v>310.5</c:v>
                </c:pt>
                <c:pt idx="24">
                  <c:v>324</c:v>
                </c:pt>
                <c:pt idx="25">
                  <c:v>337.5</c:v>
                </c:pt>
                <c:pt idx="26">
                  <c:v>351</c:v>
                </c:pt>
                <c:pt idx="27">
                  <c:v>364.5</c:v>
                </c:pt>
                <c:pt idx="28">
                  <c:v>378</c:v>
                </c:pt>
                <c:pt idx="29">
                  <c:v>391.5</c:v>
                </c:pt>
                <c:pt idx="30">
                  <c:v>405</c:v>
                </c:pt>
                <c:pt idx="31">
                  <c:v>418.5</c:v>
                </c:pt>
                <c:pt idx="32">
                  <c:v>432</c:v>
                </c:pt>
                <c:pt idx="33">
                  <c:v>445.50000000000006</c:v>
                </c:pt>
              </c:numCache>
            </c:numRef>
          </c:xVal>
          <c:yVal>
            <c:numRef>
              <c:f>gradienten!$A$2:$A$35</c:f>
              <c:numCache>
                <c:formatCode>General</c:formatCode>
                <c:ptCount val="34"/>
                <c:pt idx="0">
                  <c:v>0</c:v>
                </c:pt>
                <c:pt idx="1">
                  <c:v>-100</c:v>
                </c:pt>
                <c:pt idx="2">
                  <c:v>-200</c:v>
                </c:pt>
                <c:pt idx="3">
                  <c:v>-300</c:v>
                </c:pt>
                <c:pt idx="4">
                  <c:v>-400</c:v>
                </c:pt>
                <c:pt idx="5">
                  <c:v>-500</c:v>
                </c:pt>
                <c:pt idx="6">
                  <c:v>-600</c:v>
                </c:pt>
                <c:pt idx="7">
                  <c:v>-700</c:v>
                </c:pt>
                <c:pt idx="8">
                  <c:v>-800</c:v>
                </c:pt>
                <c:pt idx="9">
                  <c:v>-900</c:v>
                </c:pt>
                <c:pt idx="10">
                  <c:v>-1000</c:v>
                </c:pt>
                <c:pt idx="11">
                  <c:v>-1100</c:v>
                </c:pt>
                <c:pt idx="12">
                  <c:v>-1200</c:v>
                </c:pt>
                <c:pt idx="13">
                  <c:v>-1300</c:v>
                </c:pt>
                <c:pt idx="14">
                  <c:v>-1400</c:v>
                </c:pt>
                <c:pt idx="15">
                  <c:v>-1500</c:v>
                </c:pt>
                <c:pt idx="16">
                  <c:v>-1600</c:v>
                </c:pt>
                <c:pt idx="17">
                  <c:v>-1700</c:v>
                </c:pt>
                <c:pt idx="18">
                  <c:v>-1800</c:v>
                </c:pt>
                <c:pt idx="19">
                  <c:v>-1900</c:v>
                </c:pt>
                <c:pt idx="20">
                  <c:v>-2000</c:v>
                </c:pt>
                <c:pt idx="21">
                  <c:v>-2100</c:v>
                </c:pt>
                <c:pt idx="22">
                  <c:v>-2200</c:v>
                </c:pt>
                <c:pt idx="23">
                  <c:v>-2300</c:v>
                </c:pt>
                <c:pt idx="24">
                  <c:v>-2400</c:v>
                </c:pt>
                <c:pt idx="25">
                  <c:v>-2500</c:v>
                </c:pt>
                <c:pt idx="26">
                  <c:v>-2600</c:v>
                </c:pt>
                <c:pt idx="27">
                  <c:v>-2700</c:v>
                </c:pt>
                <c:pt idx="28">
                  <c:v>-2800</c:v>
                </c:pt>
                <c:pt idx="29">
                  <c:v>-2900</c:v>
                </c:pt>
                <c:pt idx="30">
                  <c:v>-3000</c:v>
                </c:pt>
                <c:pt idx="31">
                  <c:v>-3100</c:v>
                </c:pt>
                <c:pt idx="32">
                  <c:v>-3200</c:v>
                </c:pt>
                <c:pt idx="33">
                  <c:v>-3300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31072"/>
        <c:axId val="59405824"/>
      </c:scatterChart>
      <c:valAx>
        <c:axId val="98931072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nl-NL">
                    <a:latin typeface="+mn-lt"/>
                  </a:rPr>
                  <a:t>absolute druk (bar)</a:t>
                </a:r>
              </a:p>
            </c:rich>
          </c:tx>
          <c:layout>
            <c:manualLayout>
              <c:xMode val="edge"/>
              <c:yMode val="edge"/>
              <c:x val="0.40357338905929119"/>
              <c:y val="0.853217834116639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l-NL"/>
          </a:p>
        </c:txPr>
        <c:crossAx val="59405824"/>
        <c:crossesAt val="-3500"/>
        <c:crossBetween val="midCat"/>
        <c:majorUnit val="50"/>
      </c:valAx>
      <c:valAx>
        <c:axId val="594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nl-NL">
                    <a:latin typeface="+mn-lt"/>
                  </a:rPr>
                  <a:t>diepte (m)</a:t>
                </a:r>
              </a:p>
            </c:rich>
          </c:tx>
          <c:layout>
            <c:manualLayout>
              <c:xMode val="edge"/>
              <c:yMode val="edge"/>
              <c:x val="6.5031658722942412E-3"/>
              <c:y val="0.3741024051042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l-NL"/>
          </a:p>
        </c:txPr>
        <c:crossAx val="98931072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6035483517310044E-3"/>
          <c:y val="0.87462967878078912"/>
          <c:w val="0.98450513377486359"/>
          <c:h val="0.117905374187777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7484662576688"/>
          <c:y val="0.15732758551706502"/>
          <c:w val="0.71545454545454545"/>
          <c:h val="0.69612068965517238"/>
        </c:manualLayout>
      </c:layout>
      <c:scatterChart>
        <c:scatterStyle val="lineMarker"/>
        <c:varyColors val="0"/>
        <c:ser>
          <c:idx val="0"/>
          <c:order val="0"/>
          <c:tx>
            <c:v>Initieel</c:v>
          </c:tx>
          <c:spPr>
            <a:ln>
              <a:solidFill>
                <a:srgbClr val="00B0F0"/>
              </a:solidFill>
              <a:prstDash val="dash"/>
            </a:ln>
          </c:spPr>
          <c:marker>
            <c:symbol val="none"/>
          </c:marker>
          <c:xVal>
            <c:numRef>
              <c:f>'Mohr berekeningen'!$D$6:$D$42</c:f>
              <c:numCache>
                <c:formatCode>0.0</c:formatCode>
                <c:ptCount val="37"/>
                <c:pt idx="0">
                  <c:v>222.375</c:v>
                </c:pt>
                <c:pt idx="1">
                  <c:v>222.14558786120611</c:v>
                </c:pt>
                <c:pt idx="2">
                  <c:v>221.45909740972348</c:v>
                </c:pt>
                <c:pt idx="3">
                  <c:v>220.3207532524022</c:v>
                </c:pt>
                <c:pt idx="4">
                  <c:v>218.73921887563046</c:v>
                </c:pt>
                <c:pt idx="5">
                  <c:v>216.72653071097204</c:v>
                </c:pt>
                <c:pt idx="6">
                  <c:v>214.29800653065433</c:v>
                </c:pt>
                <c:pt idx="7">
                  <c:v>211.47212887007259</c:v>
                </c:pt>
                <c:pt idx="8">
                  <c:v>208.27040436453538</c:v>
                </c:pt>
                <c:pt idx="9">
                  <c:v>204.71720007078397</c:v>
                </c:pt>
                <c:pt idx="10">
                  <c:v>200.83955801897724</c:v>
                </c:pt>
                <c:pt idx="11">
                  <c:v>196.66698940651369</c:v>
                </c:pt>
                <c:pt idx="12">
                  <c:v>192.23125000000002</c:v>
                </c:pt>
                <c:pt idx="13">
                  <c:v>187.56609845469242</c:v>
                </c:pt>
                <c:pt idx="14">
                  <c:v>182.70703939074627</c:v>
                </c:pt>
                <c:pt idx="15">
                  <c:v>177.69105318161823</c:v>
                </c:pt>
                <c:pt idx="16">
                  <c:v>172.55631451109508</c:v>
                </c:pt>
                <c:pt idx="17">
                  <c:v>167.34190184089945</c:v>
                </c:pt>
                <c:pt idx="18">
                  <c:v>162.08750000000001</c:v>
                </c:pt>
                <c:pt idx="19">
                  <c:v>156.83309815910056</c:v>
                </c:pt>
                <c:pt idx="20">
                  <c:v>151.61868548890496</c:v>
                </c:pt>
                <c:pt idx="21">
                  <c:v>146.48394681838178</c:v>
                </c:pt>
                <c:pt idx="22">
                  <c:v>141.46796060925377</c:v>
                </c:pt>
                <c:pt idx="23">
                  <c:v>136.60890154530759</c:v>
                </c:pt>
                <c:pt idx="24">
                  <c:v>131.94375000000002</c:v>
                </c:pt>
                <c:pt idx="25">
                  <c:v>127.50801059348633</c:v>
                </c:pt>
                <c:pt idx="26">
                  <c:v>123.33544198102277</c:v>
                </c:pt>
                <c:pt idx="27">
                  <c:v>119.45779992921604</c:v>
                </c:pt>
                <c:pt idx="28">
                  <c:v>115.90459563546463</c:v>
                </c:pt>
                <c:pt idx="29">
                  <c:v>112.70287112992743</c:v>
                </c:pt>
                <c:pt idx="30">
                  <c:v>109.87699346934566</c:v>
                </c:pt>
                <c:pt idx="31">
                  <c:v>107.44846928902797</c:v>
                </c:pt>
                <c:pt idx="32">
                  <c:v>105.43578112436956</c:v>
                </c:pt>
                <c:pt idx="33">
                  <c:v>103.85424674759781</c:v>
                </c:pt>
                <c:pt idx="34">
                  <c:v>102.71590259027653</c:v>
                </c:pt>
                <c:pt idx="35">
                  <c:v>102.0294121387939</c:v>
                </c:pt>
                <c:pt idx="36">
                  <c:v>101.80000000000001</c:v>
                </c:pt>
              </c:numCache>
            </c:numRef>
          </c:xVal>
          <c:yVal>
            <c:numRef>
              <c:f>'Mohr berekeningen'!$E$6:$E$42</c:f>
              <c:numCache>
                <c:formatCode>0.0</c:formatCode>
                <c:ptCount val="37"/>
                <c:pt idx="0">
                  <c:v>0</c:v>
                </c:pt>
                <c:pt idx="1">
                  <c:v>5.2544018408994413</c:v>
                </c:pt>
                <c:pt idx="2">
                  <c:v>10.468814511095061</c:v>
                </c:pt>
                <c:pt idx="3">
                  <c:v>15.603553181618217</c:v>
                </c:pt>
                <c:pt idx="4">
                  <c:v>20.619539390746251</c:v>
                </c:pt>
                <c:pt idx="5">
                  <c:v>25.478598454692417</c:v>
                </c:pt>
                <c:pt idx="6">
                  <c:v>30.143749999999994</c:v>
                </c:pt>
                <c:pt idx="7">
                  <c:v>34.579489406513687</c:v>
                </c:pt>
                <c:pt idx="8">
                  <c:v>38.75205801897723</c:v>
                </c:pt>
                <c:pt idx="9">
                  <c:v>42.629700070783976</c:v>
                </c:pt>
                <c:pt idx="10">
                  <c:v>46.182904364535382</c:v>
                </c:pt>
                <c:pt idx="11">
                  <c:v>49.384628870072589</c:v>
                </c:pt>
                <c:pt idx="12">
                  <c:v>52.210506530654335</c:v>
                </c:pt>
                <c:pt idx="13">
                  <c:v>54.63903071097203</c:v>
                </c:pt>
                <c:pt idx="14">
                  <c:v>56.651718875630444</c:v>
                </c:pt>
                <c:pt idx="15">
                  <c:v>58.2332532524022</c:v>
                </c:pt>
                <c:pt idx="16">
                  <c:v>59.371597409723485</c:v>
                </c:pt>
                <c:pt idx="17">
                  <c:v>60.058087861206104</c:v>
                </c:pt>
                <c:pt idx="18">
                  <c:v>60.287499999999994</c:v>
                </c:pt>
                <c:pt idx="19">
                  <c:v>60.058087861206104</c:v>
                </c:pt>
                <c:pt idx="20">
                  <c:v>59.371597409723485</c:v>
                </c:pt>
                <c:pt idx="21">
                  <c:v>58.2332532524022</c:v>
                </c:pt>
                <c:pt idx="22">
                  <c:v>56.651718875630451</c:v>
                </c:pt>
                <c:pt idx="23">
                  <c:v>54.639030710972037</c:v>
                </c:pt>
                <c:pt idx="24">
                  <c:v>52.210506530654342</c:v>
                </c:pt>
                <c:pt idx="25">
                  <c:v>49.384628870072603</c:v>
                </c:pt>
                <c:pt idx="26">
                  <c:v>46.182904364535382</c:v>
                </c:pt>
                <c:pt idx="27">
                  <c:v>42.629700070783983</c:v>
                </c:pt>
                <c:pt idx="28">
                  <c:v>38.752058018977245</c:v>
                </c:pt>
                <c:pt idx="29">
                  <c:v>34.579489406513709</c:v>
                </c:pt>
                <c:pt idx="30">
                  <c:v>30.143749999999994</c:v>
                </c:pt>
                <c:pt idx="31">
                  <c:v>25.478598454692417</c:v>
                </c:pt>
                <c:pt idx="32">
                  <c:v>20.619539390746262</c:v>
                </c:pt>
                <c:pt idx="33">
                  <c:v>15.603553181618235</c:v>
                </c:pt>
                <c:pt idx="34">
                  <c:v>10.468814511095058</c:v>
                </c:pt>
                <c:pt idx="35">
                  <c:v>5.2544018408994697</c:v>
                </c:pt>
                <c:pt idx="36">
                  <c:v>7.3861137475303429E-15</c:v>
                </c:pt>
              </c:numCache>
            </c:numRef>
          </c:yVal>
          <c:smooth val="0"/>
        </c:ser>
        <c:ser>
          <c:idx val="2"/>
          <c:order val="1"/>
          <c:tx>
            <c:v>Injectie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'Mohr berekeningen'!$I$6:$I$42</c:f>
              <c:numCache>
                <c:formatCode>0.0</c:formatCode>
                <c:ptCount val="37"/>
                <c:pt idx="0">
                  <c:v>176.375</c:v>
                </c:pt>
                <c:pt idx="1">
                  <c:v>176.10195373265813</c:v>
                </c:pt>
                <c:pt idx="2">
                  <c:v>175.28489297759683</c:v>
                </c:pt>
                <c:pt idx="3">
                  <c:v>173.93003606051684</c:v>
                </c:pt>
                <c:pt idx="4">
                  <c:v>172.0476942606422</c:v>
                </c:pt>
                <c:pt idx="5">
                  <c:v>169.65219333565895</c:v>
                </c:pt>
                <c:pt idx="6">
                  <c:v>166.76176449404926</c:v>
                </c:pt>
                <c:pt idx="7">
                  <c:v>163.39840564458638</c:v>
                </c:pt>
                <c:pt idx="8">
                  <c:v>159.58771397896635</c:v>
                </c:pt>
                <c:pt idx="9">
                  <c:v>155.35869116172307</c:v>
                </c:pt>
                <c:pt idx="10">
                  <c:v>150.74352261004955</c:v>
                </c:pt>
                <c:pt idx="11">
                  <c:v>145.77733254333901</c:v>
                </c:pt>
                <c:pt idx="12">
                  <c:v>140.49791666666667</c:v>
                </c:pt>
                <c:pt idx="13">
                  <c:v>134.94545452265243</c:v>
                </c:pt>
                <c:pt idx="14">
                  <c:v>129.16220370088058</c:v>
                </c:pt>
                <c:pt idx="15">
                  <c:v>123.19217823212712</c:v>
                </c:pt>
                <c:pt idx="16">
                  <c:v>117.08081361500919</c:v>
                </c:pt>
                <c:pt idx="17">
                  <c:v>110.87462102440591</c:v>
                </c:pt>
                <c:pt idx="18">
                  <c:v>104.62083333333332</c:v>
                </c:pt>
                <c:pt idx="19">
                  <c:v>98.367045642260734</c:v>
                </c:pt>
                <c:pt idx="20">
                  <c:v>92.160853051657455</c:v>
                </c:pt>
                <c:pt idx="21">
                  <c:v>86.049488434539526</c:v>
                </c:pt>
                <c:pt idx="22">
                  <c:v>80.079462965786064</c:v>
                </c:pt>
                <c:pt idx="23">
                  <c:v>74.29621214401422</c:v>
                </c:pt>
                <c:pt idx="24">
                  <c:v>68.743750000000006</c:v>
                </c:pt>
                <c:pt idx="25">
                  <c:v>63.464334123327653</c:v>
                </c:pt>
                <c:pt idx="26">
                  <c:v>58.498144056617093</c:v>
                </c:pt>
                <c:pt idx="27">
                  <c:v>53.882975504943595</c:v>
                </c:pt>
                <c:pt idx="28">
                  <c:v>49.653952687700318</c:v>
                </c:pt>
                <c:pt idx="29">
                  <c:v>45.843261022080299</c:v>
                </c:pt>
                <c:pt idx="30">
                  <c:v>42.4799021726174</c:v>
                </c:pt>
                <c:pt idx="31">
                  <c:v>39.589473331007696</c:v>
                </c:pt>
                <c:pt idx="32">
                  <c:v>37.193972406024457</c:v>
                </c:pt>
                <c:pt idx="33">
                  <c:v>35.311630606149805</c:v>
                </c:pt>
                <c:pt idx="34">
                  <c:v>33.956773689069834</c:v>
                </c:pt>
                <c:pt idx="35">
                  <c:v>33.139712934008514</c:v>
                </c:pt>
                <c:pt idx="36">
                  <c:v>32.866666666666653</c:v>
                </c:pt>
              </c:numCache>
            </c:numRef>
          </c:xVal>
          <c:yVal>
            <c:numRef>
              <c:f>'Mohr berekeningen'!$J$6:$J$42</c:f>
              <c:numCache>
                <c:formatCode>0.0</c:formatCode>
                <c:ptCount val="37"/>
                <c:pt idx="0">
                  <c:v>0</c:v>
                </c:pt>
                <c:pt idx="1">
                  <c:v>6.2537876910725894</c:v>
                </c:pt>
                <c:pt idx="2">
                  <c:v>12.459980281675865</c:v>
                </c:pt>
                <c:pt idx="3">
                  <c:v>18.571344898793793</c:v>
                </c:pt>
                <c:pt idx="4">
                  <c:v>24.541370367547259</c:v>
                </c:pt>
                <c:pt idx="5">
                  <c:v>30.32462118931911</c:v>
                </c:pt>
                <c:pt idx="6">
                  <c:v>35.877083333333331</c:v>
                </c:pt>
                <c:pt idx="7">
                  <c:v>41.156499210005691</c:v>
                </c:pt>
                <c:pt idx="8">
                  <c:v>46.122689276716223</c:v>
                </c:pt>
                <c:pt idx="9">
                  <c:v>50.737857828389728</c:v>
                </c:pt>
                <c:pt idx="10">
                  <c:v>54.966880645633012</c:v>
                </c:pt>
                <c:pt idx="11">
                  <c:v>58.777572311253039</c:v>
                </c:pt>
                <c:pt idx="12">
                  <c:v>62.140931160715915</c:v>
                </c:pt>
                <c:pt idx="13">
                  <c:v>65.031360002325627</c:v>
                </c:pt>
                <c:pt idx="14">
                  <c:v>67.426860927308866</c:v>
                </c:pt>
                <c:pt idx="15">
                  <c:v>69.309202727183532</c:v>
                </c:pt>
                <c:pt idx="16">
                  <c:v>70.664059644263489</c:v>
                </c:pt>
                <c:pt idx="17">
                  <c:v>71.481120399324809</c:v>
                </c:pt>
                <c:pt idx="18">
                  <c:v>71.754166666666677</c:v>
                </c:pt>
                <c:pt idx="19">
                  <c:v>71.481120399324809</c:v>
                </c:pt>
                <c:pt idx="20">
                  <c:v>70.664059644263489</c:v>
                </c:pt>
                <c:pt idx="21">
                  <c:v>69.309202727183532</c:v>
                </c:pt>
                <c:pt idx="22">
                  <c:v>67.42686092730888</c:v>
                </c:pt>
                <c:pt idx="23">
                  <c:v>65.031360002325641</c:v>
                </c:pt>
                <c:pt idx="24">
                  <c:v>62.140931160715922</c:v>
                </c:pt>
                <c:pt idx="25">
                  <c:v>58.77757231125306</c:v>
                </c:pt>
                <c:pt idx="26">
                  <c:v>54.966880645633012</c:v>
                </c:pt>
                <c:pt idx="27">
                  <c:v>50.737857828389743</c:v>
                </c:pt>
                <c:pt idx="28">
                  <c:v>46.122689276716244</c:v>
                </c:pt>
                <c:pt idx="29">
                  <c:v>41.156499210005713</c:v>
                </c:pt>
                <c:pt idx="30">
                  <c:v>35.877083333333331</c:v>
                </c:pt>
                <c:pt idx="31">
                  <c:v>30.324621189319114</c:v>
                </c:pt>
                <c:pt idx="32">
                  <c:v>24.54137036754727</c:v>
                </c:pt>
                <c:pt idx="33">
                  <c:v>18.571344898793814</c:v>
                </c:pt>
                <c:pt idx="34">
                  <c:v>12.459980281675861</c:v>
                </c:pt>
                <c:pt idx="35">
                  <c:v>6.2537876910726231</c:v>
                </c:pt>
                <c:pt idx="36">
                  <c:v>8.7909506424922282E-15</c:v>
                </c:pt>
              </c:numCache>
            </c:numRef>
          </c:yVal>
          <c:smooth val="0"/>
        </c:ser>
        <c:ser>
          <c:idx val="3"/>
          <c:order val="2"/>
          <c:tx>
            <c:v>MC Failure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'Mohr berekeningen'!$S$2:$S$7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'Mohr berekeningen'!$T$2:$T$7</c:f>
              <c:numCache>
                <c:formatCode>0</c:formatCode>
                <c:ptCount val="6"/>
                <c:pt idx="0">
                  <c:v>0</c:v>
                </c:pt>
                <c:pt idx="1">
                  <c:v>64.940759319751066</c:v>
                </c:pt>
                <c:pt idx="2">
                  <c:v>129.88151863950213</c:v>
                </c:pt>
                <c:pt idx="3">
                  <c:v>194.8222779592532</c:v>
                </c:pt>
                <c:pt idx="4">
                  <c:v>259.76303727900427</c:v>
                </c:pt>
                <c:pt idx="5">
                  <c:v>324.70379659875533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10304"/>
        <c:axId val="224216576"/>
      </c:scatterChart>
      <c:valAx>
        <c:axId val="224210304"/>
        <c:scaling>
          <c:orientation val="minMax"/>
          <c:max val="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/>
                  <a:t>normaalspanning (bar)</a:t>
                </a:r>
              </a:p>
            </c:rich>
          </c:tx>
          <c:layout>
            <c:manualLayout>
              <c:xMode val="edge"/>
              <c:yMode val="edge"/>
              <c:x val="0.3850688618468146"/>
              <c:y val="0.922433930672459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216576"/>
        <c:crosses val="autoZero"/>
        <c:crossBetween val="midCat"/>
      </c:valAx>
      <c:valAx>
        <c:axId val="224216576"/>
        <c:scaling>
          <c:orientation val="minMax"/>
          <c:max val="3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/>
                  <a:t>schuifspanning (bar)</a:t>
                </a:r>
              </a:p>
            </c:rich>
          </c:tx>
          <c:layout>
            <c:manualLayout>
              <c:xMode val="edge"/>
              <c:yMode val="edge"/>
              <c:x val="6.2942654419106073E-3"/>
              <c:y val="0.361974259760056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210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098449350272928"/>
          <c:y val="0.15380732545697284"/>
          <c:w val="0.17693229620986292"/>
          <c:h val="0.2389886080993802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1148036253776"/>
          <c:y val="0.15732751867555017"/>
          <c:w val="0.71545454545454545"/>
          <c:h val="0.69612068965517238"/>
        </c:manualLayout>
      </c:layout>
      <c:scatterChart>
        <c:scatterStyle val="lineMarker"/>
        <c:varyColors val="0"/>
        <c:ser>
          <c:idx val="0"/>
          <c:order val="0"/>
          <c:tx>
            <c:v>Initieel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'Mohr berekeningen'!$F$6:$F$42</c:f>
              <c:numCache>
                <c:formatCode>0.0</c:formatCode>
                <c:ptCount val="37"/>
                <c:pt idx="0">
                  <c:v>219.75</c:v>
                </c:pt>
                <c:pt idx="1">
                  <c:v>219.52367966900658</c:v>
                </c:pt>
                <c:pt idx="2">
                  <c:v>218.84644111040109</c:v>
                </c:pt>
                <c:pt idx="3">
                  <c:v>217.72343851854234</c:v>
                </c:pt>
                <c:pt idx="4">
                  <c:v>216.1632186212419</c:v>
                </c:pt>
                <c:pt idx="5">
                  <c:v>214.17765563400476</c:v>
                </c:pt>
                <c:pt idx="6">
                  <c:v>211.78186089007949</c:v>
                </c:pt>
                <c:pt idx="7">
                  <c:v>208.99406783408779</c:v>
                </c:pt>
                <c:pt idx="8">
                  <c:v>205.83549325450122</c:v>
                </c:pt>
                <c:pt idx="9">
                  <c:v>202.33017581106992</c:v>
                </c:pt>
                <c:pt idx="10">
                  <c:v>198.50479308610693</c:v>
                </c:pt>
                <c:pt idx="11">
                  <c:v>194.38845855197849</c:v>
                </c:pt>
                <c:pt idx="12">
                  <c:v>190.01250000000002</c:v>
                </c:pt>
                <c:pt idx="13">
                  <c:v>185.4102211170281</c:v>
                </c:pt>
                <c:pt idx="14">
                  <c:v>180.61664802429416</c:v>
                </c:pt>
                <c:pt idx="15">
                  <c:v>175.66826270747242</c:v>
                </c:pt>
                <c:pt idx="16">
                  <c:v>170.60272536674069</c:v>
                </c:pt>
                <c:pt idx="17">
                  <c:v>165.45858779991698</c:v>
                </c:pt>
                <c:pt idx="18">
                  <c:v>160.27500000000001</c:v>
                </c:pt>
                <c:pt idx="19">
                  <c:v>155.09141220008303</c:v>
                </c:pt>
                <c:pt idx="20">
                  <c:v>149.94727463325933</c:v>
                </c:pt>
                <c:pt idx="21">
                  <c:v>144.88173729252759</c:v>
                </c:pt>
                <c:pt idx="22">
                  <c:v>139.93335197570588</c:v>
                </c:pt>
                <c:pt idx="23">
                  <c:v>135.13977888297191</c:v>
                </c:pt>
                <c:pt idx="24">
                  <c:v>130.53750000000002</c:v>
                </c:pt>
                <c:pt idx="25">
                  <c:v>126.16154144802155</c:v>
                </c:pt>
                <c:pt idx="26">
                  <c:v>122.04520691389308</c:v>
                </c:pt>
                <c:pt idx="27">
                  <c:v>118.21982418893009</c:v>
                </c:pt>
                <c:pt idx="28">
                  <c:v>114.7145067454988</c:v>
                </c:pt>
                <c:pt idx="29">
                  <c:v>111.55593216591224</c:v>
                </c:pt>
                <c:pt idx="30">
                  <c:v>108.76813910992053</c:v>
                </c:pt>
                <c:pt idx="31">
                  <c:v>106.37234436599525</c:v>
                </c:pt>
                <c:pt idx="32">
                  <c:v>104.38678137875812</c:v>
                </c:pt>
                <c:pt idx="33">
                  <c:v>102.82656148145767</c:v>
                </c:pt>
                <c:pt idx="34">
                  <c:v>101.70355888959894</c:v>
                </c:pt>
                <c:pt idx="35">
                  <c:v>101.02632033099344</c:v>
                </c:pt>
                <c:pt idx="36">
                  <c:v>100.80000000000001</c:v>
                </c:pt>
              </c:numCache>
            </c:numRef>
          </c:xVal>
          <c:yVal>
            <c:numRef>
              <c:f>'Mohr berekeningen'!$G$6:$G$42</c:f>
              <c:numCache>
                <c:formatCode>0.0</c:formatCode>
                <c:ptCount val="37"/>
                <c:pt idx="0">
                  <c:v>0</c:v>
                </c:pt>
                <c:pt idx="1">
                  <c:v>5.1835877999169693</c:v>
                </c:pt>
                <c:pt idx="2">
                  <c:v>10.32772536674068</c:v>
                </c:pt>
                <c:pt idx="3">
                  <c:v>15.39326270747242</c:v>
                </c:pt>
                <c:pt idx="4">
                  <c:v>20.341648024294145</c:v>
                </c:pt>
                <c:pt idx="5">
                  <c:v>25.135221117028095</c:v>
                </c:pt>
                <c:pt idx="6">
                  <c:v>29.737499999999994</c:v>
                </c:pt>
                <c:pt idx="7">
                  <c:v>34.113458551978461</c:v>
                </c:pt>
                <c:pt idx="8">
                  <c:v>38.229793086106916</c:v>
                </c:pt>
                <c:pt idx="9">
                  <c:v>42.055175811069908</c:v>
                </c:pt>
                <c:pt idx="10">
                  <c:v>45.56049325450121</c:v>
                </c:pt>
                <c:pt idx="11">
                  <c:v>48.719067834087781</c:v>
                </c:pt>
                <c:pt idx="12">
                  <c:v>51.50686089007948</c:v>
                </c:pt>
                <c:pt idx="13">
                  <c:v>53.902655634004752</c:v>
                </c:pt>
                <c:pt idx="14">
                  <c:v>55.88821862124189</c:v>
                </c:pt>
                <c:pt idx="15">
                  <c:v>57.448438518542332</c:v>
                </c:pt>
                <c:pt idx="16">
                  <c:v>58.571441110401068</c:v>
                </c:pt>
                <c:pt idx="17">
                  <c:v>59.248679669006563</c:v>
                </c:pt>
                <c:pt idx="18">
                  <c:v>59.474999999999994</c:v>
                </c:pt>
                <c:pt idx="19">
                  <c:v>59.248679669006563</c:v>
                </c:pt>
                <c:pt idx="20">
                  <c:v>58.571441110401068</c:v>
                </c:pt>
                <c:pt idx="21">
                  <c:v>57.448438518542332</c:v>
                </c:pt>
                <c:pt idx="22">
                  <c:v>55.888218621241897</c:v>
                </c:pt>
                <c:pt idx="23">
                  <c:v>53.902655634004759</c:v>
                </c:pt>
                <c:pt idx="24">
                  <c:v>51.506860890079487</c:v>
                </c:pt>
                <c:pt idx="25">
                  <c:v>48.719067834087795</c:v>
                </c:pt>
                <c:pt idx="26">
                  <c:v>45.56049325450121</c:v>
                </c:pt>
                <c:pt idx="27">
                  <c:v>42.055175811069915</c:v>
                </c:pt>
                <c:pt idx="28">
                  <c:v>38.22979308610693</c:v>
                </c:pt>
                <c:pt idx="29">
                  <c:v>34.113458551978482</c:v>
                </c:pt>
                <c:pt idx="30">
                  <c:v>29.737499999999994</c:v>
                </c:pt>
                <c:pt idx="31">
                  <c:v>25.135221117028099</c:v>
                </c:pt>
                <c:pt idx="32">
                  <c:v>20.341648024294155</c:v>
                </c:pt>
                <c:pt idx="33">
                  <c:v>15.393262707472436</c:v>
                </c:pt>
                <c:pt idx="34">
                  <c:v>10.327725366740678</c:v>
                </c:pt>
                <c:pt idx="35">
                  <c:v>5.1835877999169968</c:v>
                </c:pt>
                <c:pt idx="36">
                  <c:v>7.2865704355690175E-15</c:v>
                </c:pt>
              </c:numCache>
            </c:numRef>
          </c:yVal>
          <c:smooth val="0"/>
        </c:ser>
        <c:ser>
          <c:idx val="2"/>
          <c:order val="1"/>
          <c:tx>
            <c:v>Productie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'Mohr berekeningen'!$K$6:$K$42</c:f>
              <c:numCache>
                <c:formatCode>0.0</c:formatCode>
                <c:ptCount val="37"/>
                <c:pt idx="0">
                  <c:v>237.16</c:v>
                </c:pt>
                <c:pt idx="1">
                  <c:v>236.9469297302511</c:v>
                </c:pt>
                <c:pt idx="2">
                  <c:v>236.30934051441255</c:v>
                </c:pt>
                <c:pt idx="3">
                  <c:v>235.2520847914038</c:v>
                </c:pt>
                <c:pt idx="4">
                  <c:v>233.78320891566537</c:v>
                </c:pt>
                <c:pt idx="5">
                  <c:v>231.91389191954315</c:v>
                </c:pt>
                <c:pt idx="6">
                  <c:v>229.65836043410206</c:v>
                </c:pt>
                <c:pt idx="7">
                  <c:v>227.03378041587351</c:v>
                </c:pt>
                <c:pt idx="8">
                  <c:v>224.06012650356092</c:v>
                </c:pt>
                <c:pt idx="9">
                  <c:v>220.76002999897835</c:v>
                </c:pt>
                <c:pt idx="10">
                  <c:v>217.15860662917839</c:v>
                </c:pt>
                <c:pt idx="11">
                  <c:v>213.28326540060414</c:v>
                </c:pt>
                <c:pt idx="12">
                  <c:v>209.1635</c:v>
                </c:pt>
                <c:pt idx="13">
                  <c:v>204.83066432964699</c:v>
                </c:pt>
                <c:pt idx="14">
                  <c:v>200.31773388523416</c:v>
                </c:pt>
                <c:pt idx="15">
                  <c:v>195.65905479242545</c:v>
                </c:pt>
                <c:pt idx="16">
                  <c:v>190.89008241210445</c:v>
                </c:pt>
                <c:pt idx="17">
                  <c:v>186.04711150366961</c:v>
                </c:pt>
                <c:pt idx="18">
                  <c:v>181.167</c:v>
                </c:pt>
                <c:pt idx="19">
                  <c:v>176.28688849633036</c:v>
                </c:pt>
                <c:pt idx="20">
                  <c:v>171.44391758789558</c:v>
                </c:pt>
                <c:pt idx="21">
                  <c:v>166.67494520757455</c:v>
                </c:pt>
                <c:pt idx="22">
                  <c:v>162.01626611476584</c:v>
                </c:pt>
                <c:pt idx="23">
                  <c:v>157.50333567035301</c:v>
                </c:pt>
                <c:pt idx="24">
                  <c:v>153.1705</c:v>
                </c:pt>
                <c:pt idx="25">
                  <c:v>149.05073459939589</c:v>
                </c:pt>
                <c:pt idx="26">
                  <c:v>145.17539337082161</c:v>
                </c:pt>
                <c:pt idx="27">
                  <c:v>141.57397000102165</c:v>
                </c:pt>
                <c:pt idx="28">
                  <c:v>138.27387349643908</c:v>
                </c:pt>
                <c:pt idx="29">
                  <c:v>135.30021958412649</c:v>
                </c:pt>
                <c:pt idx="30">
                  <c:v>132.67563956589794</c:v>
                </c:pt>
                <c:pt idx="31">
                  <c:v>130.42010808045686</c:v>
                </c:pt>
                <c:pt idx="32">
                  <c:v>128.55079108433463</c:v>
                </c:pt>
                <c:pt idx="33">
                  <c:v>127.0819152085962</c:v>
                </c:pt>
                <c:pt idx="34">
                  <c:v>126.02465948558745</c:v>
                </c:pt>
                <c:pt idx="35">
                  <c:v>125.3870702697489</c:v>
                </c:pt>
                <c:pt idx="36">
                  <c:v>125.17400000000001</c:v>
                </c:pt>
              </c:numCache>
            </c:numRef>
          </c:xVal>
          <c:yVal>
            <c:numRef>
              <c:f>'Mohr berekeningen'!$L$6:$L$42</c:f>
              <c:numCache>
                <c:formatCode>0.0</c:formatCode>
                <c:ptCount val="37"/>
                <c:pt idx="0">
                  <c:v>0</c:v>
                </c:pt>
                <c:pt idx="1">
                  <c:v>4.8801115036696237</c:v>
                </c:pt>
                <c:pt idx="2">
                  <c:v>9.7230824121044286</c:v>
                </c:pt>
                <c:pt idx="3">
                  <c:v>14.492054792425442</c:v>
                </c:pt>
                <c:pt idx="4">
                  <c:v>19.150733885234168</c:v>
                </c:pt>
                <c:pt idx="5">
                  <c:v>23.663664329646981</c:v>
                </c:pt>
                <c:pt idx="6">
                  <c:v>27.996499999999994</c:v>
                </c:pt>
                <c:pt idx="7">
                  <c:v>32.116265400604121</c:v>
                </c:pt>
                <c:pt idx="8">
                  <c:v>35.991606629178392</c:v>
                </c:pt>
                <c:pt idx="9">
                  <c:v>39.593029998978345</c:v>
                </c:pt>
                <c:pt idx="10">
                  <c:v>42.893126503560929</c:v>
                </c:pt>
                <c:pt idx="11">
                  <c:v>45.866780415873514</c:v>
                </c:pt>
                <c:pt idx="12">
                  <c:v>48.491360434102063</c:v>
                </c:pt>
                <c:pt idx="13">
                  <c:v>50.746891919543138</c:v>
                </c:pt>
                <c:pt idx="14">
                  <c:v>52.616208915665361</c:v>
                </c:pt>
                <c:pt idx="15">
                  <c:v>54.085084791403794</c:v>
                </c:pt>
                <c:pt idx="16">
                  <c:v>55.14234051441256</c:v>
                </c:pt>
                <c:pt idx="17">
                  <c:v>55.779929730251105</c:v>
                </c:pt>
                <c:pt idx="18">
                  <c:v>55.992999999999995</c:v>
                </c:pt>
                <c:pt idx="19">
                  <c:v>55.779929730251105</c:v>
                </c:pt>
                <c:pt idx="20">
                  <c:v>55.14234051441256</c:v>
                </c:pt>
                <c:pt idx="21">
                  <c:v>54.085084791403794</c:v>
                </c:pt>
                <c:pt idx="22">
                  <c:v>52.616208915665368</c:v>
                </c:pt>
                <c:pt idx="23">
                  <c:v>50.746891919543138</c:v>
                </c:pt>
                <c:pt idx="24">
                  <c:v>48.49136043410207</c:v>
                </c:pt>
                <c:pt idx="25">
                  <c:v>45.866780415873528</c:v>
                </c:pt>
                <c:pt idx="26">
                  <c:v>42.893126503560929</c:v>
                </c:pt>
                <c:pt idx="27">
                  <c:v>39.593029998978352</c:v>
                </c:pt>
                <c:pt idx="28">
                  <c:v>35.991606629178399</c:v>
                </c:pt>
                <c:pt idx="29">
                  <c:v>32.116265400604135</c:v>
                </c:pt>
                <c:pt idx="30">
                  <c:v>27.996499999999994</c:v>
                </c:pt>
                <c:pt idx="31">
                  <c:v>23.663664329646984</c:v>
                </c:pt>
                <c:pt idx="32">
                  <c:v>19.150733885234175</c:v>
                </c:pt>
                <c:pt idx="33">
                  <c:v>14.492054792425458</c:v>
                </c:pt>
                <c:pt idx="34">
                  <c:v>9.7230824121044268</c:v>
                </c:pt>
                <c:pt idx="35">
                  <c:v>4.8801115036696494</c:v>
                </c:pt>
                <c:pt idx="36">
                  <c:v>6.8599737435698356E-15</c:v>
                </c:pt>
              </c:numCache>
            </c:numRef>
          </c:yVal>
          <c:smooth val="0"/>
        </c:ser>
        <c:ser>
          <c:idx val="1"/>
          <c:order val="2"/>
          <c:tx>
            <c:v>MC Failure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'Mohr berekeningen'!$S$2:$S$7</c:f>
              <c:numCache>
                <c:formatCode>General</c:formatCode>
                <c:ptCount val="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</c:numCache>
            </c:numRef>
          </c:xVal>
          <c:yVal>
            <c:numRef>
              <c:f>'Mohr berekeningen'!$T$2:$T$7</c:f>
              <c:numCache>
                <c:formatCode>0</c:formatCode>
                <c:ptCount val="6"/>
                <c:pt idx="0">
                  <c:v>0</c:v>
                </c:pt>
                <c:pt idx="1">
                  <c:v>64.940759319751066</c:v>
                </c:pt>
                <c:pt idx="2">
                  <c:v>129.88151863950213</c:v>
                </c:pt>
                <c:pt idx="3">
                  <c:v>194.8222779592532</c:v>
                </c:pt>
                <c:pt idx="4">
                  <c:v>259.76303727900427</c:v>
                </c:pt>
                <c:pt idx="5">
                  <c:v>324.70379659875533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243712"/>
        <c:axId val="224245632"/>
      </c:scatterChart>
      <c:valAx>
        <c:axId val="224243712"/>
        <c:scaling>
          <c:orientation val="minMax"/>
          <c:max val="6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/>
                  <a:t>normaalspanning (bar)</a:t>
                </a:r>
              </a:p>
            </c:rich>
          </c:tx>
          <c:layout>
            <c:manualLayout>
              <c:xMode val="edge"/>
              <c:yMode val="edge"/>
              <c:x val="0.3850688618468146"/>
              <c:y val="0.9224339306724590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245632"/>
        <c:crosses val="autoZero"/>
        <c:crossBetween val="midCat"/>
      </c:valAx>
      <c:valAx>
        <c:axId val="224245632"/>
        <c:scaling>
          <c:orientation val="minMax"/>
          <c:max val="3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/>
                  <a:t>schuifspanning (bar)</a:t>
                </a:r>
              </a:p>
            </c:rich>
          </c:tx>
          <c:layout>
            <c:manualLayout>
              <c:xMode val="edge"/>
              <c:yMode val="edge"/>
              <c:x val="6.3274301224316891E-3"/>
              <c:y val="0.3689734050157761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242437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386984481924651"/>
          <c:y val="0.16217177468201091"/>
          <c:w val="0.1841523737025319"/>
          <c:h val="0.1821016920757245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85728</xdr:colOff>
      <xdr:row>0</xdr:row>
      <xdr:rowOff>95249</xdr:rowOff>
    </xdr:from>
    <xdr:to>
      <xdr:col>14</xdr:col>
      <xdr:colOff>409575</xdr:colOff>
      <xdr:row>39</xdr:row>
      <xdr:rowOff>85724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495299</xdr:colOff>
      <xdr:row>0</xdr:row>
      <xdr:rowOff>104775</xdr:rowOff>
    </xdr:from>
    <xdr:to>
      <xdr:col>22</xdr:col>
      <xdr:colOff>600074</xdr:colOff>
      <xdr:row>20</xdr:row>
      <xdr:rowOff>161925</xdr:rowOff>
    </xdr:to>
    <xdr:graphicFrame macro="">
      <xdr:nvGraphicFramePr>
        <xdr:cNvPr id="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495300</xdr:colOff>
      <xdr:row>21</xdr:row>
      <xdr:rowOff>0</xdr:rowOff>
    </xdr:from>
    <xdr:to>
      <xdr:col>23</xdr:col>
      <xdr:colOff>0</xdr:colOff>
      <xdr:row>39</xdr:row>
      <xdr:rowOff>104775</xdr:rowOff>
    </xdr:to>
    <xdr:graphicFrame macro="">
      <xdr:nvGraphicFramePr>
        <xdr:cNvPr id="4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0.39547</cdr:x>
      <cdr:y>0.03869</cdr:y>
    </cdr:from>
    <cdr:to>
      <cdr:x>0.55789</cdr:x>
      <cdr:y>0.11779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04979" y="123825"/>
          <a:ext cx="1028797" cy="253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200" b="1"/>
            <a:t>INJECTIEPUT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0.38545</cdr:x>
      <cdr:y>0.02105</cdr:y>
    </cdr:from>
    <cdr:to>
      <cdr:x>0.58699</cdr:x>
      <cdr:y>0.11339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26804" y="57151"/>
          <a:ext cx="1268896" cy="250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/>
            <a:t>PRODUCTIEPUT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B1" zoomScaleNormal="100" workbookViewId="0">
      <selection activeCell="C53" sqref="C53"/>
    </sheetView>
  </sheetViews>
  <sheetFormatPr defaultRowHeight="12.75" x14ac:dyDescent="0.2"/>
  <cols>
    <col min="1" max="1" width="40.5703125" hidden="1" customWidth="1"/>
    <col min="2" max="2" width="51.42578125" customWidth="1"/>
    <col min="4" max="4" width="8.85546875" customWidth="1"/>
    <col min="5" max="5" width="9.140625" customWidth="1"/>
    <col min="20" max="20" width="29.7109375" bestFit="1" customWidth="1"/>
    <col min="21" max="21" width="8.85546875" customWidth="1"/>
  </cols>
  <sheetData>
    <row r="1" spans="1:20" s="2" customFormat="1" ht="15.75" thickBot="1" x14ac:dyDescent="0.3">
      <c r="A1" s="41" t="s">
        <v>60</v>
      </c>
      <c r="B1" s="108" t="s">
        <v>70</v>
      </c>
      <c r="C1" s="109" t="s">
        <v>59</v>
      </c>
      <c r="D1" s="110" t="s">
        <v>106</v>
      </c>
      <c r="E1" s="110" t="s">
        <v>127</v>
      </c>
    </row>
    <row r="2" spans="1:20" s="2" customFormat="1" ht="15" x14ac:dyDescent="0.25">
      <c r="A2" s="42"/>
      <c r="B2" s="111" t="s">
        <v>68</v>
      </c>
      <c r="C2" s="126">
        <v>-1830</v>
      </c>
      <c r="D2" s="112" t="s">
        <v>107</v>
      </c>
      <c r="E2" s="113" t="s">
        <v>56</v>
      </c>
    </row>
    <row r="3" spans="1:20" s="2" customFormat="1" ht="15" x14ac:dyDescent="0.25">
      <c r="A3" s="42"/>
      <c r="B3" s="114" t="s">
        <v>69</v>
      </c>
      <c r="C3" s="127">
        <v>-1855</v>
      </c>
      <c r="D3" s="115" t="s">
        <v>107</v>
      </c>
      <c r="E3" s="113" t="s">
        <v>56</v>
      </c>
    </row>
    <row r="4" spans="1:20" ht="15" x14ac:dyDescent="0.25">
      <c r="A4" s="7" t="e">
        <f>#REF!</f>
        <v>#REF!</v>
      </c>
      <c r="B4" s="114" t="s">
        <v>61</v>
      </c>
      <c r="C4" s="127">
        <f>(C2+C3)/2</f>
        <v>-1842.5</v>
      </c>
      <c r="D4" s="115" t="s">
        <v>107</v>
      </c>
      <c r="E4" s="113" t="s">
        <v>56</v>
      </c>
    </row>
    <row r="5" spans="1:20" ht="15" x14ac:dyDescent="0.25">
      <c r="A5" s="14"/>
      <c r="B5" s="114" t="s">
        <v>120</v>
      </c>
      <c r="C5" s="127">
        <v>-500</v>
      </c>
      <c r="D5" s="115">
        <v>-500</v>
      </c>
      <c r="E5" s="113" t="s">
        <v>56</v>
      </c>
    </row>
    <row r="6" spans="1:20" ht="15" x14ac:dyDescent="0.25">
      <c r="B6" s="114"/>
      <c r="C6" s="128"/>
      <c r="D6" s="115"/>
      <c r="E6" s="116"/>
    </row>
    <row r="7" spans="1:20" ht="15" x14ac:dyDescent="0.25">
      <c r="A7" s="7" t="e">
        <f>#REF!</f>
        <v>#REF!</v>
      </c>
      <c r="B7" s="114" t="s">
        <v>62</v>
      </c>
      <c r="C7" s="127">
        <v>192</v>
      </c>
      <c r="D7" s="115" t="s">
        <v>107</v>
      </c>
      <c r="E7" s="113" t="s">
        <v>28</v>
      </c>
    </row>
    <row r="8" spans="1:20" ht="15" x14ac:dyDescent="0.25">
      <c r="A8" s="7" t="e">
        <f>#REF!</f>
        <v>#REF!</v>
      </c>
      <c r="B8" s="114" t="s">
        <v>63</v>
      </c>
      <c r="C8" s="127">
        <v>195</v>
      </c>
      <c r="D8" s="115" t="s">
        <v>107</v>
      </c>
      <c r="E8" s="113" t="s">
        <v>28</v>
      </c>
    </row>
    <row r="9" spans="1:20" ht="15" x14ac:dyDescent="0.25">
      <c r="A9" s="7" t="e">
        <f>#REF!</f>
        <v>#REF!</v>
      </c>
      <c r="B9" s="114" t="s">
        <v>64</v>
      </c>
      <c r="C9" s="129">
        <f>C7-C12</f>
        <v>174.59</v>
      </c>
      <c r="D9" s="115" t="s">
        <v>107</v>
      </c>
      <c r="E9" s="113" t="s">
        <v>28</v>
      </c>
    </row>
    <row r="10" spans="1:20" ht="15" x14ac:dyDescent="0.25">
      <c r="A10" s="7" t="e">
        <f>#REF!</f>
        <v>#REF!</v>
      </c>
      <c r="B10" s="114" t="s">
        <v>104</v>
      </c>
      <c r="C10" s="129">
        <f>C8+C13</f>
        <v>241</v>
      </c>
      <c r="D10" s="115" t="s">
        <v>107</v>
      </c>
      <c r="E10" s="113" t="s">
        <v>28</v>
      </c>
    </row>
    <row r="11" spans="1:20" ht="15" x14ac:dyDescent="0.25">
      <c r="A11" s="7"/>
      <c r="B11" s="114"/>
      <c r="C11" s="128"/>
      <c r="D11" s="115"/>
      <c r="E11" s="116"/>
    </row>
    <row r="12" spans="1:20" ht="15" x14ac:dyDescent="0.25">
      <c r="A12" s="7" t="e">
        <f>#REF!</f>
        <v>#REF!</v>
      </c>
      <c r="B12" s="114" t="s">
        <v>66</v>
      </c>
      <c r="C12" s="127">
        <v>17.41</v>
      </c>
      <c r="D12" s="115" t="s">
        <v>107</v>
      </c>
      <c r="E12" s="113" t="s">
        <v>28</v>
      </c>
    </row>
    <row r="13" spans="1:20" ht="15" x14ac:dyDescent="0.25">
      <c r="A13" s="7" t="e">
        <f>#REF!</f>
        <v>#REF!</v>
      </c>
      <c r="B13" s="114" t="s">
        <v>67</v>
      </c>
      <c r="C13" s="127">
        <v>46</v>
      </c>
      <c r="D13" s="115" t="s">
        <v>107</v>
      </c>
      <c r="E13" s="113" t="s">
        <v>28</v>
      </c>
    </row>
    <row r="14" spans="1:20" ht="15" x14ac:dyDescent="0.25">
      <c r="A14" s="7"/>
      <c r="B14" s="114"/>
      <c r="C14" s="128"/>
      <c r="D14" s="115"/>
      <c r="E14" s="113"/>
    </row>
    <row r="15" spans="1:20" ht="15" x14ac:dyDescent="0.25">
      <c r="A15" s="7" t="e">
        <f>#REF!</f>
        <v>#REF!</v>
      </c>
      <c r="B15" s="114" t="s">
        <v>134</v>
      </c>
      <c r="C15" s="130">
        <v>0.106</v>
      </c>
      <c r="D15" s="131">
        <v>0.106</v>
      </c>
      <c r="E15" s="113" t="s">
        <v>9</v>
      </c>
      <c r="T15" s="14"/>
    </row>
    <row r="16" spans="1:20" ht="15" x14ac:dyDescent="0.25">
      <c r="A16" s="7" t="e">
        <f>#REF!</f>
        <v>#REF!</v>
      </c>
      <c r="B16" s="114" t="s">
        <v>76</v>
      </c>
      <c r="C16" s="130">
        <v>0.22500000000000001</v>
      </c>
      <c r="D16" s="131">
        <v>0.22500000000000001</v>
      </c>
      <c r="E16" s="113" t="s">
        <v>9</v>
      </c>
      <c r="T16" s="14"/>
    </row>
    <row r="17" spans="1:20" ht="15" x14ac:dyDescent="0.25">
      <c r="A17" s="7" t="e">
        <f>#REF!</f>
        <v>#REF!</v>
      </c>
      <c r="B17" s="114" t="s">
        <v>119</v>
      </c>
      <c r="C17" s="130">
        <v>0.16</v>
      </c>
      <c r="D17" s="131">
        <v>0.16</v>
      </c>
      <c r="E17" s="113" t="s">
        <v>9</v>
      </c>
      <c r="T17" s="14"/>
    </row>
    <row r="18" spans="1:20" ht="15" x14ac:dyDescent="0.25">
      <c r="A18" s="7"/>
      <c r="B18" s="114"/>
      <c r="C18" s="128"/>
      <c r="D18" s="115"/>
      <c r="E18" s="113"/>
    </row>
    <row r="19" spans="1:20" ht="17.25" x14ac:dyDescent="0.25">
      <c r="A19" s="7"/>
      <c r="B19" s="117" t="s">
        <v>118</v>
      </c>
      <c r="C19" s="127">
        <v>35</v>
      </c>
      <c r="D19" s="118" t="s">
        <v>107</v>
      </c>
      <c r="E19" s="119" t="s">
        <v>123</v>
      </c>
    </row>
    <row r="20" spans="1:20" ht="17.25" x14ac:dyDescent="0.25">
      <c r="A20" s="7" t="e">
        <f>#REF!</f>
        <v>#REF!</v>
      </c>
      <c r="B20" s="117" t="s">
        <v>74</v>
      </c>
      <c r="C20" s="127">
        <v>67</v>
      </c>
      <c r="D20" s="118" t="s">
        <v>107</v>
      </c>
      <c r="E20" s="119" t="s">
        <v>123</v>
      </c>
    </row>
    <row r="21" spans="1:20" ht="17.25" x14ac:dyDescent="0.25">
      <c r="A21" s="7"/>
      <c r="B21" s="117" t="s">
        <v>73</v>
      </c>
      <c r="C21" s="127">
        <v>66</v>
      </c>
      <c r="D21" s="118" t="s">
        <v>107</v>
      </c>
      <c r="E21" s="119" t="s">
        <v>123</v>
      </c>
    </row>
    <row r="22" spans="1:20" ht="17.25" x14ac:dyDescent="0.25">
      <c r="A22" s="7"/>
      <c r="B22" s="117" t="s">
        <v>75</v>
      </c>
      <c r="C22" s="132">
        <f>C21-C19</f>
        <v>31</v>
      </c>
      <c r="D22" s="118" t="s">
        <v>107</v>
      </c>
      <c r="E22" s="119" t="s">
        <v>123</v>
      </c>
    </row>
    <row r="23" spans="1:20" ht="17.25" x14ac:dyDescent="0.25">
      <c r="A23" s="7" t="e">
        <f>#REF!</f>
        <v>#REF!</v>
      </c>
      <c r="B23" s="117" t="s">
        <v>117</v>
      </c>
      <c r="C23" s="133">
        <v>3.2000000000000001E-2</v>
      </c>
      <c r="D23" s="131">
        <v>3.2000000000000001E-2</v>
      </c>
      <c r="E23" s="119" t="s">
        <v>124</v>
      </c>
    </row>
    <row r="24" spans="1:20" ht="17.25" x14ac:dyDescent="0.25">
      <c r="A24" s="7" t="e">
        <f>#REF!</f>
        <v>#REF!</v>
      </c>
      <c r="B24" s="117" t="s">
        <v>116</v>
      </c>
      <c r="C24" s="130">
        <v>10</v>
      </c>
      <c r="D24" s="131">
        <v>10</v>
      </c>
      <c r="E24" s="119" t="s">
        <v>123</v>
      </c>
    </row>
    <row r="25" spans="1:20" ht="15" x14ac:dyDescent="0.25">
      <c r="A25" s="7"/>
      <c r="B25" s="117"/>
      <c r="C25" s="134"/>
      <c r="D25" s="135"/>
      <c r="E25" s="119"/>
    </row>
    <row r="26" spans="1:20" ht="15" x14ac:dyDescent="0.25">
      <c r="A26" s="7" t="e">
        <f>#REF!</f>
        <v>#REF!</v>
      </c>
      <c r="B26" s="120" t="s">
        <v>42</v>
      </c>
      <c r="C26" s="136">
        <v>10000</v>
      </c>
      <c r="D26" s="131">
        <v>10000</v>
      </c>
      <c r="E26" s="121" t="s">
        <v>43</v>
      </c>
      <c r="T26" s="14"/>
    </row>
    <row r="27" spans="1:20" ht="15" x14ac:dyDescent="0.25">
      <c r="A27" s="7" t="e">
        <f>#REF!</f>
        <v>#REF!</v>
      </c>
      <c r="B27" s="120" t="s">
        <v>54</v>
      </c>
      <c r="C27" s="137">
        <v>0.25</v>
      </c>
      <c r="D27" s="131">
        <v>0.25</v>
      </c>
      <c r="E27" s="121" t="s">
        <v>72</v>
      </c>
      <c r="T27" s="14"/>
    </row>
    <row r="28" spans="1:20" ht="15" x14ac:dyDescent="0.25">
      <c r="A28" s="7" t="e">
        <f>#REF!</f>
        <v>#REF!</v>
      </c>
      <c r="B28" s="120" t="s">
        <v>55</v>
      </c>
      <c r="C28" s="130">
        <v>0.4</v>
      </c>
      <c r="D28" s="131">
        <v>0.4</v>
      </c>
      <c r="E28" s="121"/>
      <c r="T28" s="14"/>
    </row>
    <row r="29" spans="1:20" ht="15" x14ac:dyDescent="0.25">
      <c r="A29" s="7" t="e">
        <f>#REF!</f>
        <v>#REF!</v>
      </c>
      <c r="B29" s="120" t="s">
        <v>126</v>
      </c>
      <c r="C29" s="130">
        <v>0.75</v>
      </c>
      <c r="D29" s="131">
        <v>0.75</v>
      </c>
      <c r="E29" s="122"/>
      <c r="T29" s="14"/>
    </row>
    <row r="30" spans="1:20" ht="17.25" x14ac:dyDescent="0.25">
      <c r="A30" s="7" t="e">
        <f>#REF!</f>
        <v>#REF!</v>
      </c>
      <c r="B30" s="120" t="s">
        <v>57</v>
      </c>
      <c r="C30" s="138">
        <v>1.0000000000000001E-5</v>
      </c>
      <c r="D30" s="139">
        <v>1.0000000000000001E-5</v>
      </c>
      <c r="E30" s="121" t="s">
        <v>125</v>
      </c>
      <c r="T30" s="14"/>
    </row>
    <row r="31" spans="1:20" ht="15" x14ac:dyDescent="0.25">
      <c r="A31" s="7"/>
      <c r="B31" s="120"/>
      <c r="C31" s="140"/>
      <c r="D31" s="141"/>
      <c r="E31" s="121"/>
      <c r="T31" s="14"/>
    </row>
    <row r="32" spans="1:20" ht="15" x14ac:dyDescent="0.25">
      <c r="B32" s="120" t="s">
        <v>94</v>
      </c>
      <c r="C32" s="136">
        <v>0</v>
      </c>
      <c r="D32" s="131">
        <v>0</v>
      </c>
      <c r="E32" s="121" t="s">
        <v>28</v>
      </c>
      <c r="T32" s="14"/>
    </row>
    <row r="33" spans="2:20" ht="17.25" x14ac:dyDescent="0.25">
      <c r="B33" s="120" t="s">
        <v>95</v>
      </c>
      <c r="C33" s="136">
        <v>33</v>
      </c>
      <c r="D33" s="131">
        <v>33</v>
      </c>
      <c r="E33" s="123" t="s">
        <v>96</v>
      </c>
      <c r="T33" s="14"/>
    </row>
    <row r="34" spans="2:20" ht="15.75" thickBot="1" x14ac:dyDescent="0.3">
      <c r="B34" s="124" t="s">
        <v>105</v>
      </c>
      <c r="C34" s="142" t="s">
        <v>121</v>
      </c>
      <c r="D34" s="143"/>
      <c r="E34" s="125"/>
      <c r="T34" s="14"/>
    </row>
    <row r="35" spans="2:20" ht="13.5" thickBot="1" x14ac:dyDescent="0.25">
      <c r="B35" s="71"/>
      <c r="C35" s="71"/>
      <c r="D35" s="71"/>
      <c r="E35" s="71"/>
      <c r="T35" s="14"/>
    </row>
    <row r="36" spans="2:20" ht="13.5" thickBot="1" x14ac:dyDescent="0.25">
      <c r="B36" s="73" t="s">
        <v>71</v>
      </c>
      <c r="C36" s="144" t="s">
        <v>132</v>
      </c>
      <c r="D36" s="144" t="s">
        <v>131</v>
      </c>
      <c r="E36" s="74"/>
      <c r="T36" s="14"/>
    </row>
    <row r="37" spans="2:20" ht="15" x14ac:dyDescent="0.25">
      <c r="B37" s="145" t="s">
        <v>130</v>
      </c>
      <c r="C37" s="152">
        <f>-C3*(0.135-C15)</f>
        <v>53.795000000000023</v>
      </c>
      <c r="D37" s="154" t="str">
        <f>IF(C37&lt;gradienten!AA3+('IN-&amp;OUTPUT PRESSURES'!C3*'IN-&amp;OUTPUT PRESSURES'!C15),"NEE", "JA")</f>
        <v>JA</v>
      </c>
      <c r="E37" s="72"/>
      <c r="T37" s="70"/>
    </row>
    <row r="38" spans="2:20" ht="15" x14ac:dyDescent="0.25">
      <c r="B38" s="146" t="s">
        <v>133</v>
      </c>
      <c r="C38" s="149">
        <f>(-C3*0.135)-C8</f>
        <v>55.425000000000011</v>
      </c>
      <c r="D38" s="150" t="str">
        <f>IF(C13&gt;C38,"NEE", "JA")</f>
        <v>JA</v>
      </c>
      <c r="E38" s="75"/>
      <c r="T38" s="70"/>
    </row>
    <row r="39" spans="2:20" ht="15" customHeight="1" x14ac:dyDescent="0.25">
      <c r="B39" s="106" t="s">
        <v>122</v>
      </c>
      <c r="C39" s="147"/>
      <c r="D39" s="151" t="str">
        <f>IF(C10&gt;-(C3*C17),"JA","NEE")</f>
        <v>NEE</v>
      </c>
      <c r="E39" s="75"/>
    </row>
    <row r="40" spans="2:20" ht="15.75" thickBot="1" x14ac:dyDescent="0.3">
      <c r="B40" s="107" t="s">
        <v>128</v>
      </c>
      <c r="C40" s="148"/>
      <c r="D40" s="153" t="str">
        <f>IF('Mohr berekeningen'!$P33&lt;0,"JA","NEE")</f>
        <v>JA</v>
      </c>
      <c r="E40" s="76"/>
    </row>
  </sheetData>
  <conditionalFormatting sqref="D40">
    <cfRule type="cellIs" dxfId="5" priority="9" operator="equal">
      <formula>"NEE"</formula>
    </cfRule>
    <cfRule type="cellIs" dxfId="4" priority="10" operator="equal">
      <formula>"JA"</formula>
    </cfRule>
  </conditionalFormatting>
  <conditionalFormatting sqref="D39">
    <cfRule type="cellIs" dxfId="3" priority="4" operator="equal">
      <formula>"NEE"</formula>
    </cfRule>
    <cfRule type="cellIs" dxfId="2" priority="5" operator="equal">
      <formula>"JA"</formula>
    </cfRule>
  </conditionalFormatting>
  <conditionalFormatting sqref="D37:D38">
    <cfRule type="cellIs" dxfId="1" priority="1" operator="equal">
      <formula>"JA"</formula>
    </cfRule>
    <cfRule type="cellIs" dxfId="0" priority="3" operator="equal">
      <formula>"NEE"</formula>
    </cfRule>
  </conditionalFormatting>
  <dataValidations count="1">
    <dataValidation type="list" allowBlank="1" showInputMessage="1" showErrorMessage="1" sqref="C34">
      <formula1>"Ja,Nee"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I7" sqref="I7"/>
    </sheetView>
  </sheetViews>
  <sheetFormatPr defaultRowHeight="12.75" x14ac:dyDescent="0.2"/>
  <cols>
    <col min="1" max="1" width="14" customWidth="1"/>
    <col min="15" max="15" width="34.7109375" customWidth="1"/>
  </cols>
  <sheetData>
    <row r="1" spans="1:27" ht="15.75" thickBot="1" x14ac:dyDescent="0.3">
      <c r="A1" s="8" t="s">
        <v>108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78" t="s">
        <v>101</v>
      </c>
      <c r="T1" s="79" t="s">
        <v>100</v>
      </c>
      <c r="U1" s="8"/>
      <c r="V1" s="8"/>
      <c r="W1" s="8"/>
      <c r="X1" s="8"/>
      <c r="Y1" s="8"/>
      <c r="Z1" s="8"/>
      <c r="AA1" s="8"/>
    </row>
    <row r="2" spans="1:27" ht="15.75" thickBot="1" x14ac:dyDescent="0.3">
      <c r="A2" s="8"/>
      <c r="B2" s="8"/>
      <c r="C2" s="8"/>
      <c r="D2" s="35" t="s">
        <v>79</v>
      </c>
      <c r="E2" s="9"/>
      <c r="F2" s="9"/>
      <c r="G2" s="10"/>
      <c r="H2" s="8"/>
      <c r="I2" s="35" t="s">
        <v>109</v>
      </c>
      <c r="J2" s="9"/>
      <c r="K2" s="9"/>
      <c r="L2" s="10"/>
      <c r="M2" s="8"/>
      <c r="N2" s="8"/>
      <c r="O2" s="56" t="s">
        <v>84</v>
      </c>
      <c r="P2" s="57"/>
      <c r="Q2" s="58"/>
      <c r="R2" s="8"/>
      <c r="S2" s="80">
        <v>0</v>
      </c>
      <c r="T2" s="81">
        <f t="shared" ref="T2:T7" si="0">S2*TAN($P$28*PI()/180)+$P$27</f>
        <v>0</v>
      </c>
      <c r="U2" s="8"/>
      <c r="V2" s="8"/>
      <c r="W2" s="8"/>
      <c r="X2" s="8"/>
      <c r="Y2" s="8"/>
      <c r="Z2" s="8"/>
      <c r="AA2" s="8"/>
    </row>
    <row r="3" spans="1:27" ht="15.75" thickBot="1" x14ac:dyDescent="0.3">
      <c r="A3" s="8"/>
      <c r="B3" s="8"/>
      <c r="C3" s="8"/>
      <c r="D3" s="11"/>
      <c r="E3" s="14"/>
      <c r="F3" s="12"/>
      <c r="G3" s="13"/>
      <c r="H3" s="8"/>
      <c r="I3" s="11"/>
      <c r="J3" s="12"/>
      <c r="K3" s="12"/>
      <c r="L3" s="13"/>
      <c r="M3" s="8"/>
      <c r="N3" s="8"/>
      <c r="O3" s="43" t="s">
        <v>68</v>
      </c>
      <c r="P3" s="44">
        <f>'IN-&amp;OUTPUT PRESSURES'!C2</f>
        <v>-1830</v>
      </c>
      <c r="Q3" s="45" t="s">
        <v>56</v>
      </c>
      <c r="R3" s="8"/>
      <c r="S3" s="80">
        <v>100</v>
      </c>
      <c r="T3" s="81">
        <f t="shared" si="0"/>
        <v>64.940759319751066</v>
      </c>
      <c r="U3" s="8"/>
      <c r="V3" s="8"/>
      <c r="W3" s="8"/>
      <c r="X3" s="8"/>
      <c r="Y3" s="8"/>
      <c r="Z3" s="8"/>
      <c r="AA3" s="8"/>
    </row>
    <row r="4" spans="1:27" ht="15" x14ac:dyDescent="0.25">
      <c r="A4" s="36" t="s">
        <v>82</v>
      </c>
      <c r="B4" s="8"/>
      <c r="C4" s="8"/>
      <c r="D4" s="21" t="s">
        <v>80</v>
      </c>
      <c r="E4" s="18"/>
      <c r="F4" s="22" t="s">
        <v>81</v>
      </c>
      <c r="G4" s="15"/>
      <c r="H4" s="8"/>
      <c r="I4" s="21" t="s">
        <v>80</v>
      </c>
      <c r="J4" s="18"/>
      <c r="K4" s="22" t="s">
        <v>81</v>
      </c>
      <c r="L4" s="15"/>
      <c r="M4" s="8"/>
      <c r="N4" s="8"/>
      <c r="O4" s="43" t="s">
        <v>69</v>
      </c>
      <c r="P4" s="44">
        <f>'IN-&amp;OUTPUT PRESSURES'!C3</f>
        <v>-1855</v>
      </c>
      <c r="Q4" s="45" t="s">
        <v>56</v>
      </c>
      <c r="R4" s="8"/>
      <c r="S4" s="80">
        <v>200</v>
      </c>
      <c r="T4" s="81">
        <f t="shared" si="0"/>
        <v>129.88151863950213</v>
      </c>
      <c r="U4" s="8"/>
      <c r="V4" s="8"/>
      <c r="W4" s="8"/>
      <c r="X4" s="8"/>
      <c r="Y4" s="8"/>
      <c r="Z4" s="8"/>
      <c r="AA4" s="8"/>
    </row>
    <row r="5" spans="1:27" ht="15.75" thickBot="1" x14ac:dyDescent="0.3">
      <c r="A5" s="39" t="s">
        <v>83</v>
      </c>
      <c r="B5" s="8"/>
      <c r="C5" s="8"/>
      <c r="D5" s="19"/>
      <c r="E5" s="20"/>
      <c r="F5" s="16"/>
      <c r="G5" s="17"/>
      <c r="H5" s="8"/>
      <c r="I5" s="19"/>
      <c r="J5" s="20"/>
      <c r="K5" s="16"/>
      <c r="L5" s="17"/>
      <c r="M5" s="8"/>
      <c r="N5" s="8"/>
      <c r="O5" s="43" t="s">
        <v>62</v>
      </c>
      <c r="P5" s="44">
        <f>'IN-&amp;OUTPUT PRESSURES'!C7</f>
        <v>192</v>
      </c>
      <c r="Q5" s="45" t="s">
        <v>28</v>
      </c>
      <c r="R5" s="8"/>
      <c r="S5" s="80">
        <v>300</v>
      </c>
      <c r="T5" s="81">
        <f t="shared" si="0"/>
        <v>194.8222779592532</v>
      </c>
      <c r="U5" s="8"/>
      <c r="V5" s="8"/>
      <c r="W5" s="8"/>
      <c r="X5" s="8"/>
      <c r="Y5" s="8"/>
      <c r="Z5" s="8"/>
      <c r="AA5" s="8"/>
    </row>
    <row r="6" spans="1:27" ht="15" x14ac:dyDescent="0.25">
      <c r="A6" s="37">
        <v>0</v>
      </c>
      <c r="B6" s="8"/>
      <c r="C6" s="8" t="s">
        <v>77</v>
      </c>
      <c r="D6" s="23">
        <f>-P4*P14-P6</f>
        <v>222.375</v>
      </c>
      <c r="E6" s="24">
        <f t="shared" ref="E6:E42" si="1">0.5*(D$6-D$42)*SIN($A6*PI()/180)</f>
        <v>0</v>
      </c>
      <c r="F6" s="29">
        <f>-P3*P14-P5</f>
        <v>219.75</v>
      </c>
      <c r="G6" s="30">
        <f t="shared" ref="G6:G42" si="2">0.5*(F$6-F$42)*SIN($A6*PI()/180)</f>
        <v>0</v>
      </c>
      <c r="H6" s="8"/>
      <c r="I6" s="40">
        <f>-P4*P14-P9</f>
        <v>176.375</v>
      </c>
      <c r="J6" s="24">
        <f>0.5*(I$6-I$42)*SIN($A6*PI()/180)</f>
        <v>0</v>
      </c>
      <c r="K6" s="29">
        <f>-P3*P14-P8</f>
        <v>237.16</v>
      </c>
      <c r="L6" s="30">
        <f>0.5*(K$6-K$42)*SIN($A6*PI()/180)</f>
        <v>0</v>
      </c>
      <c r="M6" s="8"/>
      <c r="N6" s="8"/>
      <c r="O6" s="43" t="s">
        <v>63</v>
      </c>
      <c r="P6" s="44">
        <f>'IN-&amp;OUTPUT PRESSURES'!C8</f>
        <v>195</v>
      </c>
      <c r="Q6" s="45" t="s">
        <v>28</v>
      </c>
      <c r="R6" s="8"/>
      <c r="S6" s="80">
        <v>400</v>
      </c>
      <c r="T6" s="81">
        <f t="shared" si="0"/>
        <v>259.76303727900427</v>
      </c>
      <c r="U6" s="8"/>
      <c r="V6" s="8"/>
      <c r="W6" s="8"/>
      <c r="X6" s="8"/>
      <c r="Y6" s="8"/>
      <c r="Z6" s="8"/>
      <c r="AA6" s="8"/>
    </row>
    <row r="7" spans="1:27" ht="15" x14ac:dyDescent="0.25">
      <c r="A7" s="37">
        <f>+A6+5</f>
        <v>5</v>
      </c>
      <c r="B7" s="8"/>
      <c r="C7" s="8"/>
      <c r="D7" s="25">
        <f t="shared" ref="D7:D41" si="3">0.5*(D$6+D$42)+0.5*(D$6-D$42)*COS($A7*PI()/180)</f>
        <v>222.14558786120611</v>
      </c>
      <c r="E7" s="26">
        <f t="shared" si="1"/>
        <v>5.2544018408994413</v>
      </c>
      <c r="F7" s="31">
        <f>0.5*(F$6+F$42)+0.5*(F$6-F$42)*COS($A7*PI()/180)</f>
        <v>219.52367966900658</v>
      </c>
      <c r="G7" s="32">
        <f t="shared" si="2"/>
        <v>5.1835877999169693</v>
      </c>
      <c r="H7" s="8"/>
      <c r="I7" s="25">
        <f>0.5*(I$6+I$42)+0.5*(I$6-I$42)*COS($A7*PI()/180)</f>
        <v>176.10195373265813</v>
      </c>
      <c r="J7" s="26">
        <f t="shared" ref="J7:J42" si="4">0.5*(I$6-I$42)*SIN($A7*PI()/180)</f>
        <v>6.2537876910725894</v>
      </c>
      <c r="K7" s="31">
        <f>0.5*(K$6+K$42)+0.5*(K$6-K$42)*COS($A7*PI()/180)</f>
        <v>236.9469297302511</v>
      </c>
      <c r="L7" s="32">
        <f>0.5*(K$6-K$42)*SIN($A7*PI()/180)</f>
        <v>4.8801115036696237</v>
      </c>
      <c r="M7" s="8"/>
      <c r="N7" s="8"/>
      <c r="O7" s="46"/>
      <c r="P7" s="47"/>
      <c r="Q7" s="45"/>
      <c r="R7" s="8"/>
      <c r="S7" s="82">
        <v>500</v>
      </c>
      <c r="T7" s="83">
        <f t="shared" si="0"/>
        <v>324.70379659875533</v>
      </c>
      <c r="U7" s="8"/>
      <c r="V7" s="8"/>
      <c r="W7" s="8"/>
      <c r="X7" s="8"/>
      <c r="Y7" s="8"/>
      <c r="Z7" s="8"/>
      <c r="AA7" s="8"/>
    </row>
    <row r="8" spans="1:27" ht="15" x14ac:dyDescent="0.25">
      <c r="A8" s="37">
        <f>+A7+5</f>
        <v>10</v>
      </c>
      <c r="B8" s="8"/>
      <c r="C8" s="8"/>
      <c r="D8" s="25">
        <f t="shared" si="3"/>
        <v>221.45909740972348</v>
      </c>
      <c r="E8" s="26">
        <f t="shared" si="1"/>
        <v>10.468814511095061</v>
      </c>
      <c r="F8" s="31">
        <f t="shared" ref="F8:F41" si="5">0.5*(F$6+F$42)+0.5*(F$6-F$42)*COS($A8*PI()/180)</f>
        <v>218.84644111040109</v>
      </c>
      <c r="G8" s="32">
        <f t="shared" si="2"/>
        <v>10.32772536674068</v>
      </c>
      <c r="H8" s="8"/>
      <c r="I8" s="25">
        <f t="shared" ref="I8:I41" si="6">0.5*(I$6+I$42)+0.5*(I$6-I$42)*COS($A8*PI()/180)</f>
        <v>175.28489297759683</v>
      </c>
      <c r="J8" s="26">
        <f t="shared" si="4"/>
        <v>12.459980281675865</v>
      </c>
      <c r="K8" s="31">
        <f t="shared" ref="K8:K41" si="7">0.5*(K$6+K$42)+0.5*(K$6-K$42)*COS($A8*PI()/180)</f>
        <v>236.30934051441255</v>
      </c>
      <c r="L8" s="32">
        <f t="shared" ref="L8:L42" si="8">0.5*(K$6-K$42)*SIN($A8*PI()/180)</f>
        <v>9.7230824121044286</v>
      </c>
      <c r="M8" s="8"/>
      <c r="N8" s="8"/>
      <c r="O8" s="43" t="s">
        <v>64</v>
      </c>
      <c r="P8" s="44">
        <f>'IN-&amp;OUTPUT PRESSURES'!C9</f>
        <v>174.59</v>
      </c>
      <c r="Q8" s="45" t="s">
        <v>28</v>
      </c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5" x14ac:dyDescent="0.25">
      <c r="A9" s="37">
        <f t="shared" ref="A9:A42" si="9">+A8+5</f>
        <v>15</v>
      </c>
      <c r="B9" s="8"/>
      <c r="C9" s="8"/>
      <c r="D9" s="25">
        <f t="shared" si="3"/>
        <v>220.3207532524022</v>
      </c>
      <c r="E9" s="26">
        <f t="shared" si="1"/>
        <v>15.603553181618217</v>
      </c>
      <c r="F9" s="31">
        <f t="shared" si="5"/>
        <v>217.72343851854234</v>
      </c>
      <c r="G9" s="32">
        <f t="shared" si="2"/>
        <v>15.39326270747242</v>
      </c>
      <c r="H9" s="8"/>
      <c r="I9" s="25">
        <f t="shared" si="6"/>
        <v>173.93003606051684</v>
      </c>
      <c r="J9" s="26">
        <f t="shared" si="4"/>
        <v>18.571344898793793</v>
      </c>
      <c r="K9" s="31">
        <f t="shared" si="7"/>
        <v>235.2520847914038</v>
      </c>
      <c r="L9" s="32">
        <f t="shared" si="8"/>
        <v>14.492054792425442</v>
      </c>
      <c r="M9" s="8"/>
      <c r="N9" s="8"/>
      <c r="O9" s="43" t="s">
        <v>65</v>
      </c>
      <c r="P9" s="44">
        <f>'IN-&amp;OUTPUT PRESSURES'!C10</f>
        <v>241</v>
      </c>
      <c r="Q9" s="45" t="s">
        <v>28</v>
      </c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" x14ac:dyDescent="0.25">
      <c r="A10" s="37">
        <f t="shared" si="9"/>
        <v>20</v>
      </c>
      <c r="B10" s="8"/>
      <c r="C10" s="8"/>
      <c r="D10" s="25">
        <f t="shared" si="3"/>
        <v>218.73921887563046</v>
      </c>
      <c r="E10" s="26">
        <f t="shared" si="1"/>
        <v>20.619539390746251</v>
      </c>
      <c r="F10" s="31">
        <f t="shared" si="5"/>
        <v>216.1632186212419</v>
      </c>
      <c r="G10" s="32">
        <f t="shared" si="2"/>
        <v>20.341648024294145</v>
      </c>
      <c r="H10" s="8"/>
      <c r="I10" s="25">
        <f t="shared" si="6"/>
        <v>172.0476942606422</v>
      </c>
      <c r="J10" s="26">
        <f t="shared" si="4"/>
        <v>24.541370367547259</v>
      </c>
      <c r="K10" s="31">
        <f t="shared" si="7"/>
        <v>233.78320891566537</v>
      </c>
      <c r="L10" s="32">
        <f t="shared" si="8"/>
        <v>19.150733885234168</v>
      </c>
      <c r="M10" s="8"/>
      <c r="N10" s="8"/>
      <c r="O10" s="43"/>
      <c r="P10" s="47"/>
      <c r="Q10" s="45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5" x14ac:dyDescent="0.25">
      <c r="A11" s="37">
        <f t="shared" si="9"/>
        <v>25</v>
      </c>
      <c r="B11" s="8"/>
      <c r="C11" s="8"/>
      <c r="D11" s="25">
        <f>0.5*(D$6+D$42)+0.5*(D$6-D$42)*COS($A11*PI()/180)</f>
        <v>216.72653071097204</v>
      </c>
      <c r="E11" s="26">
        <f t="shared" si="1"/>
        <v>25.478598454692417</v>
      </c>
      <c r="F11" s="31">
        <f t="shared" si="5"/>
        <v>214.17765563400476</v>
      </c>
      <c r="G11" s="32">
        <f t="shared" si="2"/>
        <v>25.135221117028095</v>
      </c>
      <c r="H11" s="8"/>
      <c r="I11" s="25">
        <f t="shared" si="6"/>
        <v>169.65219333565895</v>
      </c>
      <c r="J11" s="26">
        <f t="shared" si="4"/>
        <v>30.32462118931911</v>
      </c>
      <c r="K11" s="31">
        <f t="shared" si="7"/>
        <v>231.91389191954315</v>
      </c>
      <c r="L11" s="32">
        <f t="shared" si="8"/>
        <v>23.663664329646981</v>
      </c>
      <c r="M11" s="8"/>
      <c r="N11" s="8"/>
      <c r="O11" s="48" t="s">
        <v>85</v>
      </c>
      <c r="P11" s="44">
        <f>P8-P5</f>
        <v>-17.409999999999997</v>
      </c>
      <c r="Q11" s="45" t="s">
        <v>28</v>
      </c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" x14ac:dyDescent="0.25">
      <c r="A12" s="37">
        <f t="shared" si="9"/>
        <v>30</v>
      </c>
      <c r="B12" s="8"/>
      <c r="C12" s="8"/>
      <c r="D12" s="25">
        <f t="shared" si="3"/>
        <v>214.29800653065433</v>
      </c>
      <c r="E12" s="26">
        <f t="shared" si="1"/>
        <v>30.143749999999994</v>
      </c>
      <c r="F12" s="31">
        <f t="shared" si="5"/>
        <v>211.78186089007949</v>
      </c>
      <c r="G12" s="32">
        <f t="shared" si="2"/>
        <v>29.737499999999994</v>
      </c>
      <c r="H12" s="8"/>
      <c r="I12" s="25">
        <f t="shared" si="6"/>
        <v>166.76176449404926</v>
      </c>
      <c r="J12" s="26">
        <f t="shared" si="4"/>
        <v>35.877083333333331</v>
      </c>
      <c r="K12" s="31">
        <f t="shared" si="7"/>
        <v>229.65836043410206</v>
      </c>
      <c r="L12" s="32">
        <f t="shared" si="8"/>
        <v>27.996499999999994</v>
      </c>
      <c r="M12" s="8"/>
      <c r="N12" s="8"/>
      <c r="O12" s="48" t="s">
        <v>86</v>
      </c>
      <c r="P12" s="44">
        <f>P9-P6</f>
        <v>46</v>
      </c>
      <c r="Q12" s="45" t="s">
        <v>28</v>
      </c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5" x14ac:dyDescent="0.25">
      <c r="A13" s="37">
        <f t="shared" si="9"/>
        <v>35</v>
      </c>
      <c r="B13" s="8"/>
      <c r="C13" s="8"/>
      <c r="D13" s="25">
        <f t="shared" si="3"/>
        <v>211.47212887007259</v>
      </c>
      <c r="E13" s="26">
        <f t="shared" si="1"/>
        <v>34.579489406513687</v>
      </c>
      <c r="F13" s="31">
        <f t="shared" si="5"/>
        <v>208.99406783408779</v>
      </c>
      <c r="G13" s="32">
        <f t="shared" si="2"/>
        <v>34.113458551978461</v>
      </c>
      <c r="H13" s="8"/>
      <c r="I13" s="25">
        <f t="shared" si="6"/>
        <v>163.39840564458638</v>
      </c>
      <c r="J13" s="26">
        <f t="shared" si="4"/>
        <v>41.156499210005691</v>
      </c>
      <c r="K13" s="31">
        <f t="shared" si="7"/>
        <v>227.03378041587351</v>
      </c>
      <c r="L13" s="32">
        <f t="shared" si="8"/>
        <v>32.116265400604121</v>
      </c>
      <c r="M13" s="8"/>
      <c r="N13" s="8"/>
      <c r="O13" s="43"/>
      <c r="P13" s="47"/>
      <c r="Q13" s="45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" x14ac:dyDescent="0.25">
      <c r="A14" s="37">
        <f t="shared" si="9"/>
        <v>40</v>
      </c>
      <c r="B14" s="8"/>
      <c r="C14" s="8"/>
      <c r="D14" s="25">
        <f t="shared" si="3"/>
        <v>208.27040436453538</v>
      </c>
      <c r="E14" s="26">
        <f t="shared" si="1"/>
        <v>38.75205801897723</v>
      </c>
      <c r="F14" s="31">
        <f t="shared" si="5"/>
        <v>205.83549325450122</v>
      </c>
      <c r="G14" s="32">
        <f t="shared" si="2"/>
        <v>38.229793086106916</v>
      </c>
      <c r="H14" s="8"/>
      <c r="I14" s="25">
        <f t="shared" si="6"/>
        <v>159.58771397896635</v>
      </c>
      <c r="J14" s="26">
        <f t="shared" si="4"/>
        <v>46.122689276716223</v>
      </c>
      <c r="K14" s="31">
        <f t="shared" si="7"/>
        <v>224.06012650356092</v>
      </c>
      <c r="L14" s="32">
        <f t="shared" si="8"/>
        <v>35.991606629178392</v>
      </c>
      <c r="M14" s="8"/>
      <c r="N14" s="8"/>
      <c r="O14" s="43" t="s">
        <v>87</v>
      </c>
      <c r="P14" s="47">
        <f>'IN-&amp;OUTPUT PRESSURES'!C16</f>
        <v>0.22500000000000001</v>
      </c>
      <c r="Q14" s="45" t="s">
        <v>9</v>
      </c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" x14ac:dyDescent="0.25">
      <c r="A15" s="37">
        <f t="shared" si="9"/>
        <v>45</v>
      </c>
      <c r="B15" s="8"/>
      <c r="C15" s="8"/>
      <c r="D15" s="25">
        <f t="shared" si="3"/>
        <v>204.71720007078397</v>
      </c>
      <c r="E15" s="26">
        <f t="shared" si="1"/>
        <v>42.629700070783976</v>
      </c>
      <c r="F15" s="31">
        <f t="shared" si="5"/>
        <v>202.33017581106992</v>
      </c>
      <c r="G15" s="32">
        <f t="shared" si="2"/>
        <v>42.055175811069908</v>
      </c>
      <c r="H15" s="8"/>
      <c r="I15" s="25">
        <f t="shared" si="6"/>
        <v>155.35869116172307</v>
      </c>
      <c r="J15" s="26">
        <f t="shared" si="4"/>
        <v>50.737857828389728</v>
      </c>
      <c r="K15" s="31">
        <f t="shared" si="7"/>
        <v>220.76002999897835</v>
      </c>
      <c r="L15" s="32">
        <f t="shared" si="8"/>
        <v>39.593029998978345</v>
      </c>
      <c r="M15" s="8"/>
      <c r="N15" s="8"/>
      <c r="O15" s="43" t="s">
        <v>88</v>
      </c>
      <c r="P15" s="77">
        <f>'IN-&amp;OUTPUT PRESSURES'!C17</f>
        <v>0.16</v>
      </c>
      <c r="Q15" s="45" t="s">
        <v>9</v>
      </c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" x14ac:dyDescent="0.25">
      <c r="A16" s="37">
        <f t="shared" si="9"/>
        <v>50</v>
      </c>
      <c r="B16" s="8"/>
      <c r="C16" s="8"/>
      <c r="D16" s="25">
        <f t="shared" si="3"/>
        <v>200.83955801897724</v>
      </c>
      <c r="E16" s="26">
        <f t="shared" si="1"/>
        <v>46.182904364535382</v>
      </c>
      <c r="F16" s="31">
        <f t="shared" si="5"/>
        <v>198.50479308610693</v>
      </c>
      <c r="G16" s="32">
        <f t="shared" si="2"/>
        <v>45.56049325450121</v>
      </c>
      <c r="H16" s="8"/>
      <c r="I16" s="25">
        <f t="shared" si="6"/>
        <v>150.74352261004955</v>
      </c>
      <c r="J16" s="26">
        <f t="shared" si="4"/>
        <v>54.966880645633012</v>
      </c>
      <c r="K16" s="31">
        <f t="shared" si="7"/>
        <v>217.15860662917839</v>
      </c>
      <c r="L16" s="32">
        <f t="shared" si="8"/>
        <v>42.893126503560929</v>
      </c>
      <c r="M16" s="8"/>
      <c r="N16" s="8"/>
      <c r="O16" s="43" t="s">
        <v>55</v>
      </c>
      <c r="P16" s="50">
        <f>'IN-&amp;OUTPUT PRESSURES'!C28</f>
        <v>0.4</v>
      </c>
      <c r="Q16" s="45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5" x14ac:dyDescent="0.25">
      <c r="A17" s="37">
        <f t="shared" si="9"/>
        <v>55</v>
      </c>
      <c r="B17" s="8"/>
      <c r="C17" s="8"/>
      <c r="D17" s="25">
        <f t="shared" si="3"/>
        <v>196.66698940651369</v>
      </c>
      <c r="E17" s="26">
        <f t="shared" si="1"/>
        <v>49.384628870072589</v>
      </c>
      <c r="F17" s="31">
        <f t="shared" si="5"/>
        <v>194.38845855197849</v>
      </c>
      <c r="G17" s="32">
        <f t="shared" si="2"/>
        <v>48.719067834087781</v>
      </c>
      <c r="H17" s="8"/>
      <c r="I17" s="25">
        <f t="shared" si="6"/>
        <v>145.77733254333901</v>
      </c>
      <c r="J17" s="26">
        <f t="shared" si="4"/>
        <v>58.777572311253039</v>
      </c>
      <c r="K17" s="31">
        <f t="shared" si="7"/>
        <v>213.28326540060414</v>
      </c>
      <c r="L17" s="32">
        <f t="shared" si="8"/>
        <v>45.866780415873514</v>
      </c>
      <c r="M17" s="8"/>
      <c r="N17" s="8"/>
      <c r="O17" s="43"/>
      <c r="P17" s="47"/>
      <c r="Q17" s="45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5" x14ac:dyDescent="0.25">
      <c r="A18" s="37">
        <f t="shared" si="9"/>
        <v>60</v>
      </c>
      <c r="B18" s="8"/>
      <c r="C18" s="8"/>
      <c r="D18" s="25">
        <f t="shared" si="3"/>
        <v>192.23125000000002</v>
      </c>
      <c r="E18" s="26">
        <f t="shared" si="1"/>
        <v>52.210506530654335</v>
      </c>
      <c r="F18" s="31">
        <f t="shared" si="5"/>
        <v>190.01250000000002</v>
      </c>
      <c r="G18" s="32">
        <f t="shared" si="2"/>
        <v>51.50686089007948</v>
      </c>
      <c r="H18" s="8"/>
      <c r="I18" s="25">
        <f t="shared" si="6"/>
        <v>140.49791666666667</v>
      </c>
      <c r="J18" s="26">
        <f t="shared" si="4"/>
        <v>62.140931160715915</v>
      </c>
      <c r="K18" s="31">
        <f t="shared" si="7"/>
        <v>209.1635</v>
      </c>
      <c r="L18" s="32">
        <f t="shared" si="8"/>
        <v>48.491360434102063</v>
      </c>
      <c r="M18" s="8"/>
      <c r="N18" s="8"/>
      <c r="O18" s="43" t="s">
        <v>89</v>
      </c>
      <c r="P18" s="47">
        <f>IF('IN-&amp;OUTPUT PRESSURES'!C34="Ja",1,0)</f>
        <v>1</v>
      </c>
      <c r="Q18" s="45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5" x14ac:dyDescent="0.25">
      <c r="A19" s="37">
        <f t="shared" si="9"/>
        <v>65</v>
      </c>
      <c r="B19" s="8"/>
      <c r="C19" s="8"/>
      <c r="D19" s="25">
        <f t="shared" si="3"/>
        <v>187.56609845469242</v>
      </c>
      <c r="E19" s="26">
        <f t="shared" si="1"/>
        <v>54.63903071097203</v>
      </c>
      <c r="F19" s="31">
        <f t="shared" si="5"/>
        <v>185.4102211170281</v>
      </c>
      <c r="G19" s="32">
        <f t="shared" si="2"/>
        <v>53.902655634004752</v>
      </c>
      <c r="H19" s="8"/>
      <c r="I19" s="25">
        <f t="shared" si="6"/>
        <v>134.94545452265243</v>
      </c>
      <c r="J19" s="26">
        <f t="shared" si="4"/>
        <v>65.031360002325627</v>
      </c>
      <c r="K19" s="31">
        <f t="shared" si="7"/>
        <v>204.83066432964699</v>
      </c>
      <c r="L19" s="32">
        <f t="shared" si="8"/>
        <v>50.746891919543138</v>
      </c>
      <c r="M19" s="8"/>
      <c r="N19" s="8"/>
      <c r="O19" s="43"/>
      <c r="P19" s="47"/>
      <c r="Q19" s="45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5" x14ac:dyDescent="0.25">
      <c r="A20" s="37">
        <f t="shared" si="9"/>
        <v>70</v>
      </c>
      <c r="B20" s="8"/>
      <c r="C20" s="8"/>
      <c r="D20" s="25">
        <f t="shared" si="3"/>
        <v>182.70703939074627</v>
      </c>
      <c r="E20" s="26">
        <f t="shared" si="1"/>
        <v>56.651718875630444</v>
      </c>
      <c r="F20" s="31">
        <f t="shared" si="5"/>
        <v>180.61664802429416</v>
      </c>
      <c r="G20" s="32">
        <f t="shared" si="2"/>
        <v>55.88821862124189</v>
      </c>
      <c r="H20" s="8"/>
      <c r="I20" s="25">
        <f t="shared" si="6"/>
        <v>129.16220370088058</v>
      </c>
      <c r="J20" s="26">
        <f t="shared" si="4"/>
        <v>67.426860927308866</v>
      </c>
      <c r="K20" s="31">
        <f t="shared" si="7"/>
        <v>200.31773388523416</v>
      </c>
      <c r="L20" s="32">
        <f t="shared" si="8"/>
        <v>52.616208915665361</v>
      </c>
      <c r="M20" s="8"/>
      <c r="N20" s="8"/>
      <c r="O20" s="48" t="s">
        <v>90</v>
      </c>
      <c r="P20" s="44">
        <f>'IN-&amp;OUTPUT PRESSURES'!$C$22</f>
        <v>31</v>
      </c>
      <c r="Q20" s="49" t="s">
        <v>97</v>
      </c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5" x14ac:dyDescent="0.25">
      <c r="A21" s="37">
        <f t="shared" si="9"/>
        <v>75</v>
      </c>
      <c r="B21" s="8"/>
      <c r="C21" s="8"/>
      <c r="D21" s="25">
        <f t="shared" si="3"/>
        <v>177.69105318161823</v>
      </c>
      <c r="E21" s="26">
        <f t="shared" si="1"/>
        <v>58.2332532524022</v>
      </c>
      <c r="F21" s="31">
        <f t="shared" si="5"/>
        <v>175.66826270747242</v>
      </c>
      <c r="G21" s="32">
        <f t="shared" si="2"/>
        <v>57.448438518542332</v>
      </c>
      <c r="H21" s="8"/>
      <c r="I21" s="25">
        <f t="shared" si="6"/>
        <v>123.19217823212712</v>
      </c>
      <c r="J21" s="26">
        <f t="shared" si="4"/>
        <v>69.309202727183532</v>
      </c>
      <c r="K21" s="31">
        <f t="shared" si="7"/>
        <v>195.65905479242545</v>
      </c>
      <c r="L21" s="32">
        <f t="shared" si="8"/>
        <v>54.085084791403794</v>
      </c>
      <c r="M21" s="8"/>
      <c r="N21" s="8"/>
      <c r="O21" s="43" t="s">
        <v>92</v>
      </c>
      <c r="P21" s="44">
        <f>'IN-&amp;OUTPUT PRESSURES'!$C$26</f>
        <v>10000</v>
      </c>
      <c r="Q21" s="45" t="s">
        <v>43</v>
      </c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5" x14ac:dyDescent="0.25">
      <c r="A22" s="37">
        <f t="shared" si="9"/>
        <v>80</v>
      </c>
      <c r="B22" s="8"/>
      <c r="C22" s="8"/>
      <c r="D22" s="25">
        <f t="shared" si="3"/>
        <v>172.55631451109508</v>
      </c>
      <c r="E22" s="26">
        <f t="shared" si="1"/>
        <v>59.371597409723485</v>
      </c>
      <c r="F22" s="31">
        <f t="shared" si="5"/>
        <v>170.60272536674069</v>
      </c>
      <c r="G22" s="32">
        <f t="shared" si="2"/>
        <v>58.571441110401068</v>
      </c>
      <c r="H22" s="8"/>
      <c r="I22" s="25">
        <f t="shared" si="6"/>
        <v>117.08081361500919</v>
      </c>
      <c r="J22" s="26">
        <f t="shared" si="4"/>
        <v>70.664059644263489</v>
      </c>
      <c r="K22" s="31">
        <f t="shared" si="7"/>
        <v>190.89008241210445</v>
      </c>
      <c r="L22" s="32">
        <f t="shared" si="8"/>
        <v>55.14234051441256</v>
      </c>
      <c r="M22" s="8"/>
      <c r="N22" s="8"/>
      <c r="O22" s="43" t="s">
        <v>91</v>
      </c>
      <c r="P22" s="50">
        <f>'IN-&amp;OUTPUT PRESSURES'!C27</f>
        <v>0.25</v>
      </c>
      <c r="Q22" s="45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7.25" x14ac:dyDescent="0.25">
      <c r="A23" s="37">
        <f t="shared" si="9"/>
        <v>85</v>
      </c>
      <c r="B23" s="8"/>
      <c r="C23" s="8"/>
      <c r="D23" s="25">
        <f t="shared" si="3"/>
        <v>167.34190184089945</v>
      </c>
      <c r="E23" s="26">
        <f t="shared" si="1"/>
        <v>60.058087861206104</v>
      </c>
      <c r="F23" s="31">
        <f t="shared" si="5"/>
        <v>165.45858779991698</v>
      </c>
      <c r="G23" s="32">
        <f t="shared" si="2"/>
        <v>59.248679669006563</v>
      </c>
      <c r="H23" s="8"/>
      <c r="I23" s="25">
        <f t="shared" si="6"/>
        <v>110.87462102440591</v>
      </c>
      <c r="J23" s="26">
        <f t="shared" si="4"/>
        <v>71.481120399324809</v>
      </c>
      <c r="K23" s="31">
        <f t="shared" si="7"/>
        <v>186.04711150366961</v>
      </c>
      <c r="L23" s="32">
        <f t="shared" si="8"/>
        <v>55.779929730251105</v>
      </c>
      <c r="M23" s="8"/>
      <c r="N23" s="8"/>
      <c r="O23" s="43" t="s">
        <v>46</v>
      </c>
      <c r="P23" s="51">
        <f>'IN-&amp;OUTPUT PRESSURES'!$C$30</f>
        <v>1.0000000000000001E-5</v>
      </c>
      <c r="Q23" s="49" t="s">
        <v>98</v>
      </c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" x14ac:dyDescent="0.25">
      <c r="A24" s="37">
        <f t="shared" si="9"/>
        <v>90</v>
      </c>
      <c r="B24" s="8"/>
      <c r="C24" s="8"/>
      <c r="D24" s="25">
        <f t="shared" si="3"/>
        <v>162.08750000000001</v>
      </c>
      <c r="E24" s="26">
        <f t="shared" si="1"/>
        <v>60.287499999999994</v>
      </c>
      <c r="F24" s="31">
        <f t="shared" si="5"/>
        <v>160.27500000000001</v>
      </c>
      <c r="G24" s="32">
        <f t="shared" si="2"/>
        <v>59.474999999999994</v>
      </c>
      <c r="H24" s="8"/>
      <c r="I24" s="25">
        <f t="shared" si="6"/>
        <v>104.62083333333332</v>
      </c>
      <c r="J24" s="26">
        <f t="shared" si="4"/>
        <v>71.754166666666677</v>
      </c>
      <c r="K24" s="31">
        <f t="shared" si="7"/>
        <v>181.167</v>
      </c>
      <c r="L24" s="32">
        <f t="shared" si="8"/>
        <v>55.992999999999995</v>
      </c>
      <c r="M24" s="8"/>
      <c r="N24" s="8"/>
      <c r="O24" s="43"/>
      <c r="P24" s="47"/>
      <c r="Q24" s="45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5" x14ac:dyDescent="0.25">
      <c r="A25" s="37">
        <f t="shared" si="9"/>
        <v>95</v>
      </c>
      <c r="B25" s="8"/>
      <c r="C25" s="8"/>
      <c r="D25" s="25">
        <f t="shared" si="3"/>
        <v>156.83309815910056</v>
      </c>
      <c r="E25" s="26">
        <f t="shared" si="1"/>
        <v>60.058087861206104</v>
      </c>
      <c r="F25" s="31">
        <f t="shared" si="5"/>
        <v>155.09141220008303</v>
      </c>
      <c r="G25" s="32">
        <f t="shared" si="2"/>
        <v>59.248679669006563</v>
      </c>
      <c r="H25" s="8"/>
      <c r="I25" s="25">
        <f t="shared" si="6"/>
        <v>98.367045642260734</v>
      </c>
      <c r="J25" s="26">
        <f t="shared" si="4"/>
        <v>71.481120399324809</v>
      </c>
      <c r="K25" s="31">
        <f t="shared" si="7"/>
        <v>176.28688849633036</v>
      </c>
      <c r="L25" s="32">
        <f t="shared" si="8"/>
        <v>55.779929730251105</v>
      </c>
      <c r="M25" s="8"/>
      <c r="N25" s="8"/>
      <c r="O25" s="43" t="s">
        <v>93</v>
      </c>
      <c r="P25" s="52">
        <f>10*$P23*$P21*$P20/(1-P22)</f>
        <v>41.333333333333336</v>
      </c>
      <c r="Q25" s="45" t="s">
        <v>28</v>
      </c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5" x14ac:dyDescent="0.25">
      <c r="A26" s="37">
        <f t="shared" si="9"/>
        <v>100</v>
      </c>
      <c r="B26" s="8"/>
      <c r="C26" s="8"/>
      <c r="D26" s="25">
        <f t="shared" si="3"/>
        <v>151.61868548890496</v>
      </c>
      <c r="E26" s="26">
        <f t="shared" si="1"/>
        <v>59.371597409723485</v>
      </c>
      <c r="F26" s="31">
        <f t="shared" si="5"/>
        <v>149.94727463325933</v>
      </c>
      <c r="G26" s="32">
        <f t="shared" si="2"/>
        <v>58.571441110401068</v>
      </c>
      <c r="H26" s="8"/>
      <c r="I26" s="25">
        <f t="shared" si="6"/>
        <v>92.160853051657455</v>
      </c>
      <c r="J26" s="26">
        <f t="shared" si="4"/>
        <v>70.664059644263489</v>
      </c>
      <c r="K26" s="31">
        <f t="shared" si="7"/>
        <v>171.44391758789558</v>
      </c>
      <c r="L26" s="32">
        <f t="shared" si="8"/>
        <v>55.14234051441256</v>
      </c>
      <c r="M26" s="8"/>
      <c r="N26" s="8"/>
      <c r="O26" s="43"/>
      <c r="P26" s="47"/>
      <c r="Q26" s="45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" x14ac:dyDescent="0.25">
      <c r="A27" s="37">
        <f t="shared" si="9"/>
        <v>105</v>
      </c>
      <c r="B27" s="8"/>
      <c r="C27" s="8"/>
      <c r="D27" s="25">
        <f t="shared" si="3"/>
        <v>146.48394681838178</v>
      </c>
      <c r="E27" s="26">
        <f t="shared" si="1"/>
        <v>58.2332532524022</v>
      </c>
      <c r="F27" s="31">
        <f t="shared" si="5"/>
        <v>144.88173729252759</v>
      </c>
      <c r="G27" s="32">
        <f t="shared" si="2"/>
        <v>57.448438518542332</v>
      </c>
      <c r="H27" s="8"/>
      <c r="I27" s="25">
        <f t="shared" si="6"/>
        <v>86.049488434539526</v>
      </c>
      <c r="J27" s="26">
        <f t="shared" si="4"/>
        <v>69.309202727183532</v>
      </c>
      <c r="K27" s="31">
        <f t="shared" si="7"/>
        <v>166.67494520757455</v>
      </c>
      <c r="L27" s="32">
        <f t="shared" si="8"/>
        <v>54.085084791403794</v>
      </c>
      <c r="M27" s="8"/>
      <c r="N27" s="8"/>
      <c r="O27" s="43" t="s">
        <v>94</v>
      </c>
      <c r="P27" s="44">
        <f>'IN-&amp;OUTPUT PRESSURES'!$C$32</f>
        <v>0</v>
      </c>
      <c r="Q27" s="45" t="s">
        <v>28</v>
      </c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" x14ac:dyDescent="0.25">
      <c r="A28" s="37">
        <f t="shared" si="9"/>
        <v>110</v>
      </c>
      <c r="B28" s="8"/>
      <c r="C28" s="8"/>
      <c r="D28" s="25">
        <f t="shared" si="3"/>
        <v>141.46796060925377</v>
      </c>
      <c r="E28" s="26">
        <f t="shared" si="1"/>
        <v>56.651718875630451</v>
      </c>
      <c r="F28" s="31">
        <f t="shared" si="5"/>
        <v>139.93335197570588</v>
      </c>
      <c r="G28" s="32">
        <f t="shared" si="2"/>
        <v>55.888218621241897</v>
      </c>
      <c r="H28" s="8"/>
      <c r="I28" s="25">
        <f t="shared" si="6"/>
        <v>80.079462965786064</v>
      </c>
      <c r="J28" s="26">
        <f t="shared" si="4"/>
        <v>67.42686092730888</v>
      </c>
      <c r="K28" s="31">
        <f t="shared" si="7"/>
        <v>162.01626611476584</v>
      </c>
      <c r="L28" s="32">
        <f t="shared" si="8"/>
        <v>52.616208915665368</v>
      </c>
      <c r="M28" s="8"/>
      <c r="N28" s="8"/>
      <c r="O28" s="43" t="s">
        <v>95</v>
      </c>
      <c r="P28" s="44">
        <f>'IN-&amp;OUTPUT PRESSURES'!$C$33</f>
        <v>33</v>
      </c>
      <c r="Q28" s="49" t="s">
        <v>99</v>
      </c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5.75" thickBot="1" x14ac:dyDescent="0.3">
      <c r="A29" s="37">
        <f t="shared" si="9"/>
        <v>115</v>
      </c>
      <c r="B29" s="8"/>
      <c r="C29" s="8"/>
      <c r="D29" s="25">
        <f t="shared" si="3"/>
        <v>136.60890154530759</v>
      </c>
      <c r="E29" s="26">
        <f t="shared" si="1"/>
        <v>54.639030710972037</v>
      </c>
      <c r="F29" s="31">
        <f t="shared" si="5"/>
        <v>135.13977888297191</v>
      </c>
      <c r="G29" s="32">
        <f t="shared" si="2"/>
        <v>53.902655634004759</v>
      </c>
      <c r="H29" s="8"/>
      <c r="I29" s="25">
        <f t="shared" si="6"/>
        <v>74.29621214401422</v>
      </c>
      <c r="J29" s="26">
        <f t="shared" si="4"/>
        <v>65.031360002325641</v>
      </c>
      <c r="K29" s="31">
        <f t="shared" si="7"/>
        <v>157.50333567035301</v>
      </c>
      <c r="L29" s="32">
        <f t="shared" si="8"/>
        <v>50.746891919543138</v>
      </c>
      <c r="M29" s="8"/>
      <c r="N29" s="8"/>
      <c r="O29" s="53"/>
      <c r="P29" s="54"/>
      <c r="Q29" s="55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5" x14ac:dyDescent="0.25">
      <c r="A30" s="37">
        <f t="shared" si="9"/>
        <v>120</v>
      </c>
      <c r="B30" s="8"/>
      <c r="C30" s="8"/>
      <c r="D30" s="25">
        <f t="shared" si="3"/>
        <v>131.94375000000002</v>
      </c>
      <c r="E30" s="26">
        <f t="shared" si="1"/>
        <v>52.210506530654342</v>
      </c>
      <c r="F30" s="31">
        <f t="shared" si="5"/>
        <v>130.53750000000002</v>
      </c>
      <c r="G30" s="32">
        <f t="shared" si="2"/>
        <v>51.506860890079487</v>
      </c>
      <c r="H30" s="8"/>
      <c r="I30" s="25">
        <f t="shared" si="6"/>
        <v>68.743750000000006</v>
      </c>
      <c r="J30" s="26">
        <f t="shared" si="4"/>
        <v>62.140931160715922</v>
      </c>
      <c r="K30" s="31">
        <f t="shared" si="7"/>
        <v>153.1705</v>
      </c>
      <c r="L30" s="32">
        <f t="shared" si="8"/>
        <v>48.49136043410207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5.75" thickBot="1" x14ac:dyDescent="0.3">
      <c r="A31" s="37">
        <f t="shared" si="9"/>
        <v>125</v>
      </c>
      <c r="B31" s="8"/>
      <c r="C31" s="8"/>
      <c r="D31" s="25">
        <f t="shared" si="3"/>
        <v>127.50801059348633</v>
      </c>
      <c r="E31" s="26">
        <f t="shared" si="1"/>
        <v>49.384628870072603</v>
      </c>
      <c r="F31" s="31">
        <f t="shared" si="5"/>
        <v>126.16154144802155</v>
      </c>
      <c r="G31" s="32">
        <f t="shared" si="2"/>
        <v>48.719067834087795</v>
      </c>
      <c r="H31" s="8"/>
      <c r="I31" s="25">
        <f t="shared" si="6"/>
        <v>63.464334123327653</v>
      </c>
      <c r="J31" s="26">
        <f t="shared" si="4"/>
        <v>58.77757231125306</v>
      </c>
      <c r="K31" s="31">
        <f t="shared" si="7"/>
        <v>149.05073459939589</v>
      </c>
      <c r="L31" s="32">
        <f t="shared" si="8"/>
        <v>45.866780415873528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5.75" thickBot="1" x14ac:dyDescent="0.3">
      <c r="A32" s="37">
        <f t="shared" si="9"/>
        <v>130</v>
      </c>
      <c r="B32" s="8"/>
      <c r="C32" s="8"/>
      <c r="D32" s="25">
        <f t="shared" si="3"/>
        <v>123.33544198102277</v>
      </c>
      <c r="E32" s="26">
        <f t="shared" si="1"/>
        <v>46.182904364535382</v>
      </c>
      <c r="F32" s="31">
        <f t="shared" si="5"/>
        <v>122.04520691389308</v>
      </c>
      <c r="G32" s="32">
        <f t="shared" si="2"/>
        <v>45.56049325450121</v>
      </c>
      <c r="H32" s="8"/>
      <c r="I32" s="25">
        <f t="shared" si="6"/>
        <v>58.498144056617093</v>
      </c>
      <c r="J32" s="26">
        <f t="shared" si="4"/>
        <v>54.966880645633012</v>
      </c>
      <c r="K32" s="31">
        <f t="shared" si="7"/>
        <v>145.17539337082161</v>
      </c>
      <c r="L32" s="32">
        <f t="shared" si="8"/>
        <v>42.893126503560929</v>
      </c>
      <c r="M32" s="8"/>
      <c r="N32" s="8"/>
      <c r="O32" s="59" t="s">
        <v>103</v>
      </c>
      <c r="P32" s="60"/>
      <c r="Q32" s="61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5" x14ac:dyDescent="0.25">
      <c r="A33" s="37">
        <f t="shared" si="9"/>
        <v>135</v>
      </c>
      <c r="B33" s="8"/>
      <c r="C33" s="8"/>
      <c r="D33" s="25">
        <f t="shared" si="3"/>
        <v>119.45779992921604</v>
      </c>
      <c r="E33" s="26">
        <f t="shared" si="1"/>
        <v>42.629700070783983</v>
      </c>
      <c r="F33" s="31">
        <f t="shared" si="5"/>
        <v>118.21982418893009</v>
      </c>
      <c r="G33" s="32">
        <f t="shared" si="2"/>
        <v>42.055175811069915</v>
      </c>
      <c r="H33" s="8"/>
      <c r="I33" s="25">
        <f t="shared" si="6"/>
        <v>53.882975504943595</v>
      </c>
      <c r="J33" s="26">
        <f t="shared" si="4"/>
        <v>50.737857828389743</v>
      </c>
      <c r="K33" s="31">
        <f t="shared" si="7"/>
        <v>141.57397000102165</v>
      </c>
      <c r="L33" s="32">
        <f t="shared" si="8"/>
        <v>39.593029998978352</v>
      </c>
      <c r="M33" s="8"/>
      <c r="N33" s="8"/>
      <c r="O33" s="62" t="s">
        <v>102</v>
      </c>
      <c r="P33" s="69">
        <f>SIN(P28*PI()/180)*((I6+I42)/2)-(I6-I42)/2+P27*COS(P28*PI()/180)</f>
        <v>-14.773576957532036</v>
      </c>
      <c r="Q33" s="64" t="s">
        <v>28</v>
      </c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5" x14ac:dyDescent="0.25">
      <c r="A34" s="37">
        <f t="shared" si="9"/>
        <v>140</v>
      </c>
      <c r="B34" s="8"/>
      <c r="C34" s="8"/>
      <c r="D34" s="25">
        <f t="shared" si="3"/>
        <v>115.90459563546463</v>
      </c>
      <c r="E34" s="26">
        <f t="shared" si="1"/>
        <v>38.752058018977245</v>
      </c>
      <c r="F34" s="31">
        <f t="shared" si="5"/>
        <v>114.7145067454988</v>
      </c>
      <c r="G34" s="32">
        <f t="shared" si="2"/>
        <v>38.22979308610693</v>
      </c>
      <c r="H34" s="8"/>
      <c r="I34" s="25">
        <f t="shared" si="6"/>
        <v>49.653952687700318</v>
      </c>
      <c r="J34" s="26">
        <f t="shared" si="4"/>
        <v>46.122689276716244</v>
      </c>
      <c r="K34" s="31">
        <f t="shared" si="7"/>
        <v>138.27387349643908</v>
      </c>
      <c r="L34" s="32">
        <f t="shared" si="8"/>
        <v>35.991606629178399</v>
      </c>
      <c r="M34" s="8"/>
      <c r="N34" s="8"/>
      <c r="O34" s="62"/>
      <c r="P34" s="63"/>
      <c r="Q34" s="64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5" x14ac:dyDescent="0.25">
      <c r="A35" s="37">
        <f t="shared" si="9"/>
        <v>145</v>
      </c>
      <c r="B35" s="8"/>
      <c r="C35" s="8"/>
      <c r="D35" s="25">
        <f t="shared" si="3"/>
        <v>112.70287112992743</v>
      </c>
      <c r="E35" s="26">
        <f t="shared" si="1"/>
        <v>34.579489406513709</v>
      </c>
      <c r="F35" s="31">
        <f t="shared" si="5"/>
        <v>111.55593216591224</v>
      </c>
      <c r="G35" s="32">
        <f t="shared" si="2"/>
        <v>34.113458551978482</v>
      </c>
      <c r="H35" s="8"/>
      <c r="I35" s="25">
        <f t="shared" si="6"/>
        <v>45.843261022080299</v>
      </c>
      <c r="J35" s="26">
        <f t="shared" si="4"/>
        <v>41.156499210005713</v>
      </c>
      <c r="K35" s="31">
        <f t="shared" si="7"/>
        <v>135.30021958412649</v>
      </c>
      <c r="L35" s="32">
        <f t="shared" si="8"/>
        <v>32.116265400604135</v>
      </c>
      <c r="M35" s="8"/>
      <c r="N35" s="8"/>
      <c r="O35" s="65"/>
      <c r="P35" s="63"/>
      <c r="Q35" s="64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5.75" thickBot="1" x14ac:dyDescent="0.3">
      <c r="A36" s="37">
        <f t="shared" si="9"/>
        <v>150</v>
      </c>
      <c r="B36" s="8"/>
      <c r="C36" s="8"/>
      <c r="D36" s="25">
        <f t="shared" si="3"/>
        <v>109.87699346934566</v>
      </c>
      <c r="E36" s="26">
        <f t="shared" si="1"/>
        <v>30.143749999999994</v>
      </c>
      <c r="F36" s="31">
        <f t="shared" si="5"/>
        <v>108.76813910992053</v>
      </c>
      <c r="G36" s="32">
        <f t="shared" si="2"/>
        <v>29.737499999999994</v>
      </c>
      <c r="H36" s="8"/>
      <c r="I36" s="25">
        <f t="shared" si="6"/>
        <v>42.4799021726174</v>
      </c>
      <c r="J36" s="26">
        <f t="shared" si="4"/>
        <v>35.877083333333331</v>
      </c>
      <c r="K36" s="31">
        <f t="shared" si="7"/>
        <v>132.67563956589794</v>
      </c>
      <c r="L36" s="32">
        <f t="shared" si="8"/>
        <v>27.996499999999994</v>
      </c>
      <c r="M36" s="8"/>
      <c r="N36" s="8"/>
      <c r="O36" s="66"/>
      <c r="P36" s="67"/>
      <c r="Q36" s="6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5" x14ac:dyDescent="0.25">
      <c r="A37" s="37">
        <f t="shared" si="9"/>
        <v>155</v>
      </c>
      <c r="B37" s="8"/>
      <c r="C37" s="8"/>
      <c r="D37" s="25">
        <f t="shared" si="3"/>
        <v>107.44846928902797</v>
      </c>
      <c r="E37" s="26">
        <f t="shared" si="1"/>
        <v>25.478598454692417</v>
      </c>
      <c r="F37" s="31">
        <f t="shared" si="5"/>
        <v>106.37234436599525</v>
      </c>
      <c r="G37" s="32">
        <f t="shared" si="2"/>
        <v>25.135221117028099</v>
      </c>
      <c r="H37" s="8"/>
      <c r="I37" s="25">
        <f t="shared" si="6"/>
        <v>39.589473331007696</v>
      </c>
      <c r="J37" s="26">
        <f t="shared" si="4"/>
        <v>30.324621189319114</v>
      </c>
      <c r="K37" s="31">
        <f t="shared" si="7"/>
        <v>130.42010808045686</v>
      </c>
      <c r="L37" s="32">
        <f t="shared" si="8"/>
        <v>23.663664329646984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5" x14ac:dyDescent="0.25">
      <c r="A38" s="37">
        <f t="shared" si="9"/>
        <v>160</v>
      </c>
      <c r="B38" s="8"/>
      <c r="C38" s="8"/>
      <c r="D38" s="25">
        <f t="shared" si="3"/>
        <v>105.43578112436956</v>
      </c>
      <c r="E38" s="26">
        <f t="shared" si="1"/>
        <v>20.619539390746262</v>
      </c>
      <c r="F38" s="31">
        <f t="shared" si="5"/>
        <v>104.38678137875812</v>
      </c>
      <c r="G38" s="32">
        <f t="shared" si="2"/>
        <v>20.341648024294155</v>
      </c>
      <c r="H38" s="8"/>
      <c r="I38" s="25">
        <f t="shared" si="6"/>
        <v>37.193972406024457</v>
      </c>
      <c r="J38" s="26">
        <f t="shared" si="4"/>
        <v>24.54137036754727</v>
      </c>
      <c r="K38" s="31">
        <f t="shared" si="7"/>
        <v>128.55079108433463</v>
      </c>
      <c r="L38" s="32">
        <f t="shared" si="8"/>
        <v>19.150733885234175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5" x14ac:dyDescent="0.25">
      <c r="A39" s="37">
        <f t="shared" si="9"/>
        <v>165</v>
      </c>
      <c r="B39" s="8"/>
      <c r="C39" s="8"/>
      <c r="D39" s="25">
        <f t="shared" si="3"/>
        <v>103.85424674759781</v>
      </c>
      <c r="E39" s="26">
        <f t="shared" si="1"/>
        <v>15.603553181618235</v>
      </c>
      <c r="F39" s="31">
        <f t="shared" si="5"/>
        <v>102.82656148145767</v>
      </c>
      <c r="G39" s="32">
        <f t="shared" si="2"/>
        <v>15.393262707472436</v>
      </c>
      <c r="H39" s="8"/>
      <c r="I39" s="25">
        <f t="shared" si="6"/>
        <v>35.311630606149805</v>
      </c>
      <c r="J39" s="26">
        <f t="shared" si="4"/>
        <v>18.571344898793814</v>
      </c>
      <c r="K39" s="31">
        <f t="shared" si="7"/>
        <v>127.0819152085962</v>
      </c>
      <c r="L39" s="32">
        <f t="shared" si="8"/>
        <v>14.492054792425458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5" x14ac:dyDescent="0.25">
      <c r="A40" s="37">
        <f t="shared" si="9"/>
        <v>170</v>
      </c>
      <c r="B40" s="8"/>
      <c r="C40" s="8"/>
      <c r="D40" s="25">
        <f t="shared" si="3"/>
        <v>102.71590259027653</v>
      </c>
      <c r="E40" s="26">
        <f t="shared" si="1"/>
        <v>10.468814511095058</v>
      </c>
      <c r="F40" s="31">
        <f t="shared" si="5"/>
        <v>101.70355888959894</v>
      </c>
      <c r="G40" s="32">
        <f t="shared" si="2"/>
        <v>10.327725366740678</v>
      </c>
      <c r="H40" s="8"/>
      <c r="I40" s="25">
        <f t="shared" si="6"/>
        <v>33.956773689069834</v>
      </c>
      <c r="J40" s="26">
        <f t="shared" si="4"/>
        <v>12.459980281675861</v>
      </c>
      <c r="K40" s="31">
        <f t="shared" si="7"/>
        <v>126.02465948558745</v>
      </c>
      <c r="L40" s="32">
        <f t="shared" si="8"/>
        <v>9.7230824121044268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5" x14ac:dyDescent="0.25">
      <c r="A41" s="37">
        <f t="shared" si="9"/>
        <v>175</v>
      </c>
      <c r="B41" s="8"/>
      <c r="C41" s="8"/>
      <c r="D41" s="25">
        <f t="shared" si="3"/>
        <v>102.0294121387939</v>
      </c>
      <c r="E41" s="26">
        <f t="shared" si="1"/>
        <v>5.2544018408994697</v>
      </c>
      <c r="F41" s="31">
        <f t="shared" si="5"/>
        <v>101.02632033099344</v>
      </c>
      <c r="G41" s="32">
        <f t="shared" si="2"/>
        <v>5.1835877999169968</v>
      </c>
      <c r="H41" s="8"/>
      <c r="I41" s="25">
        <f t="shared" si="6"/>
        <v>33.139712934008514</v>
      </c>
      <c r="J41" s="26">
        <f t="shared" si="4"/>
        <v>6.2537876910726231</v>
      </c>
      <c r="K41" s="31">
        <f t="shared" si="7"/>
        <v>125.3870702697489</v>
      </c>
      <c r="L41" s="32">
        <f t="shared" si="8"/>
        <v>4.8801115036696494</v>
      </c>
      <c r="M41" s="8"/>
      <c r="N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5.75" thickBot="1" x14ac:dyDescent="0.3">
      <c r="A42" s="38">
        <f t="shared" si="9"/>
        <v>180</v>
      </c>
      <c r="B42" s="8"/>
      <c r="C42" s="8" t="s">
        <v>78</v>
      </c>
      <c r="D42" s="27">
        <f>-P4*P15-P6</f>
        <v>101.80000000000001</v>
      </c>
      <c r="E42" s="28">
        <f t="shared" si="1"/>
        <v>7.3861137475303429E-15</v>
      </c>
      <c r="F42" s="33">
        <f>-P3*P15-P5</f>
        <v>100.80000000000001</v>
      </c>
      <c r="G42" s="34">
        <f t="shared" si="2"/>
        <v>7.2865704355690175E-15</v>
      </c>
      <c r="H42" s="8"/>
      <c r="I42" s="27">
        <f>(-P4*P15+P16*P12-P9)-P18*P25</f>
        <v>32.866666666666653</v>
      </c>
      <c r="J42" s="28">
        <f t="shared" si="4"/>
        <v>8.7909506424922282E-15</v>
      </c>
      <c r="K42" s="33">
        <f>-P3*P15-P16*P11-P8</f>
        <v>125.17400000000001</v>
      </c>
      <c r="L42" s="34">
        <f t="shared" si="8"/>
        <v>6.8599737435698356E-15</v>
      </c>
      <c r="M42" s="8"/>
      <c r="N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workbookViewId="0">
      <selection activeCell="C2" sqref="C2:C46"/>
    </sheetView>
  </sheetViews>
  <sheetFormatPr defaultRowHeight="12.75" x14ac:dyDescent="0.2"/>
  <cols>
    <col min="3" max="3" width="11.5703125" bestFit="1" customWidth="1"/>
    <col min="4" max="4" width="11" bestFit="1" customWidth="1"/>
    <col min="5" max="5" width="13.85546875" bestFit="1" customWidth="1"/>
    <col min="6" max="6" width="13.85546875" customWidth="1"/>
    <col min="7" max="7" width="13" customWidth="1"/>
    <col min="8" max="8" width="14.7109375" bestFit="1" customWidth="1"/>
    <col min="9" max="9" width="22.5703125" bestFit="1" customWidth="1"/>
    <col min="10" max="10" width="16.7109375" style="1" bestFit="1" customWidth="1"/>
    <col min="13" max="13" width="21.42578125" customWidth="1"/>
    <col min="16" max="16" width="9.42578125" customWidth="1"/>
    <col min="23" max="23" width="12" customWidth="1"/>
    <col min="26" max="26" width="11.140625" customWidth="1"/>
  </cols>
  <sheetData>
    <row r="1" spans="1:30" x14ac:dyDescent="0.2">
      <c r="A1" t="s">
        <v>0</v>
      </c>
      <c r="B1" t="s">
        <v>3</v>
      </c>
      <c r="C1" t="s">
        <v>1</v>
      </c>
      <c r="D1" t="s">
        <v>2</v>
      </c>
      <c r="E1" t="s">
        <v>30</v>
      </c>
      <c r="F1" t="s">
        <v>53</v>
      </c>
      <c r="G1" t="s">
        <v>51</v>
      </c>
      <c r="H1" t="s">
        <v>31</v>
      </c>
      <c r="I1" t="s">
        <v>32</v>
      </c>
      <c r="J1" s="1" t="s">
        <v>52</v>
      </c>
      <c r="M1" s="84" t="s">
        <v>4</v>
      </c>
      <c r="N1" s="85"/>
      <c r="O1" s="85"/>
      <c r="P1" s="85"/>
      <c r="Q1" s="85"/>
      <c r="R1" s="85"/>
      <c r="S1" s="85"/>
      <c r="T1" s="86"/>
      <c r="V1" s="101" t="s">
        <v>110</v>
      </c>
      <c r="W1" s="101" t="s">
        <v>113</v>
      </c>
      <c r="X1" s="101" t="s">
        <v>111</v>
      </c>
      <c r="Y1" s="102" t="s">
        <v>0</v>
      </c>
      <c r="Z1" s="101" t="s">
        <v>114</v>
      </c>
      <c r="AA1" s="101" t="s">
        <v>58</v>
      </c>
      <c r="AB1" s="101" t="s">
        <v>0</v>
      </c>
      <c r="AD1" t="s">
        <v>129</v>
      </c>
    </row>
    <row r="2" spans="1:30" x14ac:dyDescent="0.2">
      <c r="A2">
        <v>0</v>
      </c>
      <c r="B2">
        <v>0</v>
      </c>
      <c r="C2" s="3">
        <f>+B2*(-'IN-&amp;OUTPUT PRESSURES'!C$8/'IN-&amp;OUTPUT PRESSURES'!C$3)</f>
        <v>0</v>
      </c>
      <c r="D2" s="3">
        <f>+B2*'IN-&amp;OUTPUT PRESSURES'!$C$16</f>
        <v>0</v>
      </c>
      <c r="E2" s="4">
        <f>B2*'IN-&amp;OUTPUT PRESSURES'!C$17</f>
        <v>0</v>
      </c>
      <c r="F2" s="4"/>
      <c r="G2" s="1">
        <f>10*(($Q$35*$Q$33*I2)/(1-$Q$34))</f>
        <v>-33.333333333333336</v>
      </c>
      <c r="H2">
        <f t="shared" ref="H2:H46" si="0">$N$27+($N$26*$B2)</f>
        <v>10</v>
      </c>
      <c r="I2" s="1">
        <f>H2-'IN-&amp;OUTPUT PRESSURES'!$C$19</f>
        <v>-25</v>
      </c>
      <c r="J2" s="1">
        <f t="shared" ref="J2:J46" si="1">E2-C2-G2</f>
        <v>33.333333333333336</v>
      </c>
      <c r="M2" s="87" t="s">
        <v>5</v>
      </c>
      <c r="N2" s="14"/>
      <c r="O2" s="14"/>
      <c r="P2" s="14"/>
      <c r="Q2" s="14"/>
      <c r="R2" s="14"/>
      <c r="S2" s="14"/>
      <c r="T2" s="88"/>
      <c r="V2" s="101" t="s">
        <v>115</v>
      </c>
      <c r="W2">
        <v>0</v>
      </c>
      <c r="X2">
        <f>B2</f>
        <v>0</v>
      </c>
      <c r="Y2">
        <v>0</v>
      </c>
      <c r="AA2" s="3">
        <f>AA3+('IN-&amp;OUTPUT PRESSURES'!C3*'IN-&amp;OUTPUT PRESSURES'!C15)</f>
        <v>44.370000000000005</v>
      </c>
      <c r="AB2">
        <v>0</v>
      </c>
      <c r="AD2">
        <f>0.135*B2</f>
        <v>0</v>
      </c>
    </row>
    <row r="3" spans="1:30" x14ac:dyDescent="0.2">
      <c r="A3">
        <v>-100</v>
      </c>
      <c r="B3">
        <v>100</v>
      </c>
      <c r="C3" s="3">
        <f>+B3*(-'IN-&amp;OUTPUT PRESSURES'!C$8/'IN-&amp;OUTPUT PRESSURES'!C$3)</f>
        <v>10.512129380053908</v>
      </c>
      <c r="D3" s="3">
        <f>+B3*'IN-&amp;OUTPUT PRESSURES'!$C$16</f>
        <v>22.5</v>
      </c>
      <c r="E3" s="4">
        <f>B3*'IN-&amp;OUTPUT PRESSURES'!C$17</f>
        <v>16</v>
      </c>
      <c r="F3" s="4"/>
      <c r="G3" s="1">
        <f t="shared" ref="G3:G35" si="2">10*(($Q$35*$Q$33*I3)/(1-$Q$34))</f>
        <v>-29.066666666666666</v>
      </c>
      <c r="H3">
        <f t="shared" si="0"/>
        <v>13.2</v>
      </c>
      <c r="I3" s="1">
        <f>H3-'IN-&amp;OUTPUT PRESSURES'!$C$19</f>
        <v>-21.8</v>
      </c>
      <c r="J3" s="1">
        <f t="shared" si="1"/>
        <v>34.554537286612756</v>
      </c>
      <c r="M3" s="89"/>
      <c r="N3" s="14"/>
      <c r="O3" s="14"/>
      <c r="P3" s="14"/>
      <c r="Q3" s="14"/>
      <c r="R3" s="14"/>
      <c r="S3" s="14"/>
      <c r="T3" s="88"/>
      <c r="W3" s="3">
        <f>(W5/Y5)*Y3</f>
        <v>52.459016393442624</v>
      </c>
      <c r="X3" s="3">
        <f>W3</f>
        <v>52.459016393442624</v>
      </c>
      <c r="Y3" s="3">
        <f>'IN-&amp;OUTPUT PRESSURES'!C5</f>
        <v>-500</v>
      </c>
      <c r="Z3" s="3"/>
      <c r="AA3" s="3">
        <f>'IN-&amp;OUTPUT PRESSURES'!C8+'IN-&amp;OUTPUT PRESSURES'!C13</f>
        <v>241</v>
      </c>
      <c r="AB3" s="3">
        <f>'IN-&amp;OUTPUT PRESSURES'!$C$3</f>
        <v>-1855</v>
      </c>
      <c r="AD3">
        <f t="shared" ref="AD3:AD46" si="3">0.135*B3</f>
        <v>13.5</v>
      </c>
    </row>
    <row r="4" spans="1:30" x14ac:dyDescent="0.2">
      <c r="A4">
        <v>-200</v>
      </c>
      <c r="B4">
        <v>200</v>
      </c>
      <c r="C4" s="3">
        <f>+B4*(-'IN-&amp;OUTPUT PRESSURES'!C$8/'IN-&amp;OUTPUT PRESSURES'!C$3)</f>
        <v>21.024258760107816</v>
      </c>
      <c r="D4" s="3">
        <f>+B4*'IN-&amp;OUTPUT PRESSURES'!$C$16</f>
        <v>45</v>
      </c>
      <c r="E4" s="4">
        <f>B4*'IN-&amp;OUTPUT PRESSURES'!C$17</f>
        <v>32</v>
      </c>
      <c r="F4" s="4"/>
      <c r="G4" s="1">
        <f t="shared" si="2"/>
        <v>-24.800000000000004</v>
      </c>
      <c r="H4">
        <f t="shared" si="0"/>
        <v>16.399999999999999</v>
      </c>
      <c r="I4" s="1">
        <f>H4-'IN-&amp;OUTPUT PRESSURES'!$C$19</f>
        <v>-18.600000000000001</v>
      </c>
      <c r="J4" s="1">
        <f t="shared" si="1"/>
        <v>35.775741239892184</v>
      </c>
      <c r="M4" s="89" t="s">
        <v>6</v>
      </c>
      <c r="N4" s="14">
        <v>22.5</v>
      </c>
      <c r="O4" s="14" t="s">
        <v>7</v>
      </c>
      <c r="P4" s="14"/>
      <c r="Q4" s="14"/>
      <c r="R4" s="14"/>
      <c r="S4" s="14"/>
      <c r="T4" s="88"/>
      <c r="W4" s="3">
        <f>(W5/Y5)*Y4</f>
        <v>52.563934426229508</v>
      </c>
      <c r="X4" s="3">
        <f>X3-(W5-X5)</f>
        <v>35.049016393442628</v>
      </c>
      <c r="Y4" s="3">
        <f>Y3-1</f>
        <v>-501</v>
      </c>
      <c r="Z4" s="3"/>
      <c r="AA4" s="3"/>
      <c r="AB4" s="3"/>
      <c r="AD4">
        <f t="shared" si="3"/>
        <v>27</v>
      </c>
    </row>
    <row r="5" spans="1:30" x14ac:dyDescent="0.2">
      <c r="A5">
        <v>-300</v>
      </c>
      <c r="B5">
        <v>300</v>
      </c>
      <c r="C5" s="3">
        <f>+B5*(-'IN-&amp;OUTPUT PRESSURES'!C$8/'IN-&amp;OUTPUT PRESSURES'!C$3)</f>
        <v>31.536388140161726</v>
      </c>
      <c r="D5" s="3">
        <f>+B5*'IN-&amp;OUTPUT PRESSURES'!$C$16</f>
        <v>67.5</v>
      </c>
      <c r="E5" s="4">
        <f>B5*'IN-&amp;OUTPUT PRESSURES'!C$17</f>
        <v>48</v>
      </c>
      <c r="F5" s="4"/>
      <c r="G5" s="1">
        <f t="shared" si="2"/>
        <v>-20.533333333333331</v>
      </c>
      <c r="H5">
        <f t="shared" si="0"/>
        <v>19.600000000000001</v>
      </c>
      <c r="I5" s="1">
        <f>H5-'IN-&amp;OUTPUT PRESSURES'!$C$19</f>
        <v>-15.399999999999999</v>
      </c>
      <c r="J5" s="1">
        <f t="shared" si="1"/>
        <v>36.996945193171605</v>
      </c>
      <c r="M5" s="89"/>
      <c r="N5" s="14">
        <f>+N4/1000</f>
        <v>2.2499999999999999E-2</v>
      </c>
      <c r="O5" s="14" t="s">
        <v>8</v>
      </c>
      <c r="P5" s="14"/>
      <c r="Q5" s="14"/>
      <c r="R5" s="14"/>
      <c r="S5" s="14"/>
      <c r="T5" s="88"/>
      <c r="V5" s="101" t="s">
        <v>112</v>
      </c>
      <c r="W5" s="3">
        <f>'IN-&amp;OUTPUT PRESSURES'!$C$7</f>
        <v>192</v>
      </c>
      <c r="X5" s="3">
        <f>'IN-&amp;OUTPUT PRESSURES'!$C$9</f>
        <v>174.59</v>
      </c>
      <c r="Y5" s="3">
        <f>'IN-&amp;OUTPUT PRESSURES'!$C$2</f>
        <v>-1830</v>
      </c>
      <c r="Z5" s="3"/>
      <c r="AD5">
        <f t="shared" si="3"/>
        <v>40.5</v>
      </c>
    </row>
    <row r="6" spans="1:30" x14ac:dyDescent="0.2">
      <c r="A6">
        <v>-400</v>
      </c>
      <c r="B6">
        <v>400</v>
      </c>
      <c r="C6" s="3">
        <f>+B6*(-'IN-&amp;OUTPUT PRESSURES'!C$8/'IN-&amp;OUTPUT PRESSURES'!C$3)</f>
        <v>42.048517520215633</v>
      </c>
      <c r="D6" s="3">
        <f>+B6*'IN-&amp;OUTPUT PRESSURES'!$C$16</f>
        <v>90</v>
      </c>
      <c r="E6" s="4">
        <f>B6*'IN-&amp;OUTPUT PRESSURES'!C$17</f>
        <v>64</v>
      </c>
      <c r="F6" s="4"/>
      <c r="G6" s="1">
        <f t="shared" si="2"/>
        <v>-16.266666666666666</v>
      </c>
      <c r="H6">
        <f t="shared" si="0"/>
        <v>22.8</v>
      </c>
      <c r="I6" s="1">
        <f>H6-'IN-&amp;OUTPUT PRESSURES'!$C$19</f>
        <v>-12.2</v>
      </c>
      <c r="J6" s="1">
        <f t="shared" si="1"/>
        <v>38.218149146451033</v>
      </c>
      <c r="M6" s="89"/>
      <c r="N6" s="90">
        <f>'IN-&amp;OUTPUT PRESSURES'!C16</f>
        <v>0.22500000000000001</v>
      </c>
      <c r="O6" s="14" t="s">
        <v>9</v>
      </c>
      <c r="P6" s="14"/>
      <c r="Q6" s="14"/>
      <c r="R6" s="14"/>
      <c r="S6" s="14"/>
      <c r="T6" s="88"/>
      <c r="AD6">
        <f t="shared" si="3"/>
        <v>54</v>
      </c>
    </row>
    <row r="7" spans="1:30" x14ac:dyDescent="0.2">
      <c r="A7">
        <v>-500</v>
      </c>
      <c r="B7">
        <v>500</v>
      </c>
      <c r="C7" s="3">
        <f>+B7*(-'IN-&amp;OUTPUT PRESSURES'!C$8/'IN-&amp;OUTPUT PRESSURES'!C$3)</f>
        <v>52.560646900269539</v>
      </c>
      <c r="D7" s="3">
        <f>+B7*'IN-&amp;OUTPUT PRESSURES'!$C$16</f>
        <v>112.5</v>
      </c>
      <c r="E7" s="4">
        <f>B7*'IN-&amp;OUTPUT PRESSURES'!C$17</f>
        <v>80</v>
      </c>
      <c r="F7" s="4"/>
      <c r="G7" s="1">
        <f t="shared" si="2"/>
        <v>-12</v>
      </c>
      <c r="H7">
        <f t="shared" si="0"/>
        <v>26</v>
      </c>
      <c r="I7" s="1">
        <f>H7-'IN-&amp;OUTPUT PRESSURES'!$C$19</f>
        <v>-9</v>
      </c>
      <c r="J7" s="1">
        <f t="shared" si="1"/>
        <v>39.439353099730461</v>
      </c>
      <c r="M7" s="87" t="s">
        <v>10</v>
      </c>
      <c r="N7" s="5">
        <v>220</v>
      </c>
      <c r="O7" s="5" t="s">
        <v>11</v>
      </c>
      <c r="P7" s="14"/>
      <c r="Q7" s="14"/>
      <c r="R7" s="14"/>
      <c r="S7" s="14"/>
      <c r="T7" s="88"/>
      <c r="AD7">
        <f t="shared" si="3"/>
        <v>67.5</v>
      </c>
    </row>
    <row r="8" spans="1:30" x14ac:dyDescent="0.2">
      <c r="A8">
        <v>-600</v>
      </c>
      <c r="B8">
        <v>600</v>
      </c>
      <c r="C8" s="3">
        <f>+B8*(-'IN-&amp;OUTPUT PRESSURES'!C$8/'IN-&amp;OUTPUT PRESSURES'!C$3)</f>
        <v>63.072776280323453</v>
      </c>
      <c r="D8" s="3">
        <f>+B8*'IN-&amp;OUTPUT PRESSURES'!$C$16</f>
        <v>135</v>
      </c>
      <c r="E8" s="4">
        <f>B8*'IN-&amp;OUTPUT PRESSURES'!C$17</f>
        <v>96</v>
      </c>
      <c r="F8" s="4"/>
      <c r="G8" s="1">
        <f t="shared" si="2"/>
        <v>-7.7333333333333343</v>
      </c>
      <c r="H8">
        <f t="shared" si="0"/>
        <v>29.2</v>
      </c>
      <c r="I8" s="1">
        <f>H8-'IN-&amp;OUTPUT PRESSURES'!$C$19</f>
        <v>-5.8000000000000007</v>
      </c>
      <c r="J8" s="1">
        <f t="shared" si="1"/>
        <v>40.660557053009882</v>
      </c>
      <c r="M8" s="89" t="s">
        <v>12</v>
      </c>
      <c r="N8" s="90">
        <v>0.106</v>
      </c>
      <c r="O8" s="14" t="s">
        <v>9</v>
      </c>
      <c r="P8" s="5" t="s">
        <v>13</v>
      </c>
      <c r="Q8" s="14"/>
      <c r="R8" s="14"/>
      <c r="S8" s="14"/>
      <c r="T8" s="88"/>
      <c r="AD8">
        <f t="shared" si="3"/>
        <v>81</v>
      </c>
    </row>
    <row r="9" spans="1:30" x14ac:dyDescent="0.2">
      <c r="A9">
        <v>-700</v>
      </c>
      <c r="B9">
        <v>700</v>
      </c>
      <c r="C9" s="3">
        <f>+B9*(-'IN-&amp;OUTPUT PRESSURES'!C$8/'IN-&amp;OUTPUT PRESSURES'!C$3)</f>
        <v>73.584905660377359</v>
      </c>
      <c r="D9" s="3">
        <f>+B9*'IN-&amp;OUTPUT PRESSURES'!$C$16</f>
        <v>157.5</v>
      </c>
      <c r="E9" s="4">
        <f>B9*'IN-&amp;OUTPUT PRESSURES'!C$17</f>
        <v>112</v>
      </c>
      <c r="F9" s="4"/>
      <c r="G9" s="1">
        <f t="shared" si="2"/>
        <v>-3.4666666666666597</v>
      </c>
      <c r="H9">
        <f t="shared" si="0"/>
        <v>32.400000000000006</v>
      </c>
      <c r="I9" s="1">
        <f>H9-'IN-&amp;OUTPUT PRESSURES'!$C$19</f>
        <v>-2.5999999999999943</v>
      </c>
      <c r="J9" s="1">
        <f t="shared" si="1"/>
        <v>41.881761006289302</v>
      </c>
      <c r="M9" s="89"/>
      <c r="N9" s="14"/>
      <c r="O9" s="14"/>
      <c r="P9" s="14"/>
      <c r="Q9" s="14"/>
      <c r="R9" s="14"/>
      <c r="S9" s="14"/>
      <c r="T9" s="88"/>
      <c r="AD9">
        <f t="shared" si="3"/>
        <v>94.5</v>
      </c>
    </row>
    <row r="10" spans="1:30" x14ac:dyDescent="0.2">
      <c r="A10">
        <v>-800</v>
      </c>
      <c r="B10">
        <v>800</v>
      </c>
      <c r="C10" s="3">
        <f>+B10*(-'IN-&amp;OUTPUT PRESSURES'!C$8/'IN-&amp;OUTPUT PRESSURES'!C$3)</f>
        <v>84.097035040431265</v>
      </c>
      <c r="D10" s="3">
        <f>+B10*'IN-&amp;OUTPUT PRESSURES'!$C$16</f>
        <v>180</v>
      </c>
      <c r="E10" s="4">
        <f>B10*'IN-&amp;OUTPUT PRESSURES'!C$17</f>
        <v>128</v>
      </c>
      <c r="F10" s="4">
        <f t="shared" ref="F10:F46" si="4">E10-G10</f>
        <v>127.2</v>
      </c>
      <c r="G10" s="1">
        <f t="shared" si="2"/>
        <v>0.80000000000000193</v>
      </c>
      <c r="H10">
        <f t="shared" si="0"/>
        <v>35.6</v>
      </c>
      <c r="I10" s="1">
        <f>H10-'IN-&amp;OUTPUT PRESSURES'!$C$19</f>
        <v>0.60000000000000142</v>
      </c>
      <c r="J10" s="1">
        <f t="shared" si="1"/>
        <v>43.10296495956873</v>
      </c>
      <c r="M10" s="89" t="s">
        <v>14</v>
      </c>
      <c r="N10" s="14"/>
      <c r="O10" s="14"/>
      <c r="P10" s="14"/>
      <c r="Q10" s="14"/>
      <c r="R10" s="14"/>
      <c r="S10" s="14"/>
      <c r="T10" s="88"/>
      <c r="AD10">
        <f t="shared" si="3"/>
        <v>108</v>
      </c>
    </row>
    <row r="11" spans="1:30" x14ac:dyDescent="0.2">
      <c r="A11">
        <v>-900</v>
      </c>
      <c r="B11">
        <v>900</v>
      </c>
      <c r="C11" s="3">
        <f>+B11*(-'IN-&amp;OUTPUT PRESSURES'!C$8/'IN-&amp;OUTPUT PRESSURES'!C$3)</f>
        <v>94.609164420485172</v>
      </c>
      <c r="D11" s="3">
        <f>+B11*'IN-&amp;OUTPUT PRESSURES'!$C$16</f>
        <v>202.5</v>
      </c>
      <c r="E11" s="4">
        <f>B11*'IN-&amp;OUTPUT PRESSURES'!C$17</f>
        <v>144</v>
      </c>
      <c r="F11" s="4">
        <f t="shared" si="4"/>
        <v>138.93333333333334</v>
      </c>
      <c r="G11" s="1">
        <f>10*(($Q$35*$Q$33*I11)/(1-$Q$34))</f>
        <v>5.0666666666666629</v>
      </c>
      <c r="H11">
        <f t="shared" si="0"/>
        <v>38.799999999999997</v>
      </c>
      <c r="I11" s="1">
        <f>H11-'IN-&amp;OUTPUT PRESSURES'!$C$19</f>
        <v>3.7999999999999972</v>
      </c>
      <c r="J11" s="1">
        <f t="shared" si="1"/>
        <v>44.324168912848165</v>
      </c>
      <c r="M11" s="91" t="s">
        <v>15</v>
      </c>
      <c r="N11" s="14"/>
      <c r="O11" s="14"/>
      <c r="P11" s="14"/>
      <c r="Q11" s="14"/>
      <c r="R11" s="14"/>
      <c r="S11" s="14"/>
      <c r="T11" s="88"/>
      <c r="AD11">
        <f t="shared" si="3"/>
        <v>121.50000000000001</v>
      </c>
    </row>
    <row r="12" spans="1:30" x14ac:dyDescent="0.2">
      <c r="A12">
        <v>-1000</v>
      </c>
      <c r="B12">
        <v>1000</v>
      </c>
      <c r="C12" s="3">
        <f>+B12*(-'IN-&amp;OUTPUT PRESSURES'!C$8/'IN-&amp;OUTPUT PRESSURES'!C$3)</f>
        <v>105.12129380053908</v>
      </c>
      <c r="D12" s="3">
        <f>+B12*'IN-&amp;OUTPUT PRESSURES'!$C$16</f>
        <v>225</v>
      </c>
      <c r="E12" s="4">
        <f>B12*'IN-&amp;OUTPUT PRESSURES'!C$17</f>
        <v>160</v>
      </c>
      <c r="F12" s="4">
        <f t="shared" si="4"/>
        <v>150.66666666666666</v>
      </c>
      <c r="G12" s="1">
        <f t="shared" si="2"/>
        <v>9.3333333333333339</v>
      </c>
      <c r="H12">
        <f t="shared" si="0"/>
        <v>42</v>
      </c>
      <c r="I12" s="1">
        <f>H12-'IN-&amp;OUTPUT PRESSURES'!$C$19</f>
        <v>7</v>
      </c>
      <c r="J12" s="1">
        <f t="shared" si="1"/>
        <v>45.545372866127586</v>
      </c>
      <c r="M12" s="89" t="s">
        <v>16</v>
      </c>
      <c r="N12" s="90">
        <v>0.6</v>
      </c>
      <c r="O12" s="14" t="s">
        <v>17</v>
      </c>
      <c r="P12" s="14"/>
      <c r="Q12" s="14"/>
      <c r="R12" s="14"/>
      <c r="S12" s="14"/>
      <c r="T12" s="88"/>
      <c r="AD12">
        <f t="shared" si="3"/>
        <v>135</v>
      </c>
    </row>
    <row r="13" spans="1:30" x14ac:dyDescent="0.2">
      <c r="A13">
        <v>-1100</v>
      </c>
      <c r="B13">
        <v>1100</v>
      </c>
      <c r="C13" s="3">
        <f>+B13*(-'IN-&amp;OUTPUT PRESSURES'!C$8/'IN-&amp;OUTPUT PRESSURES'!C$3)</f>
        <v>115.633423180593</v>
      </c>
      <c r="D13" s="3">
        <f>+B13*'IN-&amp;OUTPUT PRESSURES'!$C$16</f>
        <v>247.5</v>
      </c>
      <c r="E13" s="4">
        <f>B13*'IN-&amp;OUTPUT PRESSURES'!C$17</f>
        <v>176</v>
      </c>
      <c r="F13" s="4">
        <f t="shared" si="4"/>
        <v>162.4</v>
      </c>
      <c r="G13" s="1">
        <f t="shared" si="2"/>
        <v>13.600000000000003</v>
      </c>
      <c r="H13">
        <f t="shared" si="0"/>
        <v>45.2</v>
      </c>
      <c r="I13" s="1">
        <f>H13-'IN-&amp;OUTPUT PRESSURES'!$C$19</f>
        <v>10.200000000000003</v>
      </c>
      <c r="J13" s="1">
        <f t="shared" si="1"/>
        <v>46.766576819407</v>
      </c>
      <c r="M13" s="91" t="s">
        <v>18</v>
      </c>
      <c r="N13" s="14"/>
      <c r="O13" s="14"/>
      <c r="P13" s="14"/>
      <c r="Q13" s="14"/>
      <c r="R13" s="14"/>
      <c r="S13" s="14"/>
      <c r="T13" s="88"/>
      <c r="AD13">
        <f t="shared" si="3"/>
        <v>148.5</v>
      </c>
    </row>
    <row r="14" spans="1:30" x14ac:dyDescent="0.2">
      <c r="A14">
        <v>-1200</v>
      </c>
      <c r="B14">
        <v>1200</v>
      </c>
      <c r="C14" s="3">
        <f>+B14*(-'IN-&amp;OUTPUT PRESSURES'!C$8/'IN-&amp;OUTPUT PRESSURES'!C$3)</f>
        <v>126.14555256064691</v>
      </c>
      <c r="D14" s="3">
        <f>+B14*'IN-&amp;OUTPUT PRESSURES'!$C$16</f>
        <v>270</v>
      </c>
      <c r="E14" s="4">
        <f>B14*'IN-&amp;OUTPUT PRESSURES'!C$17</f>
        <v>192</v>
      </c>
      <c r="F14" s="4">
        <f t="shared" si="4"/>
        <v>174.13333333333333</v>
      </c>
      <c r="G14" s="1">
        <f t="shared" si="2"/>
        <v>17.866666666666664</v>
      </c>
      <c r="H14">
        <f t="shared" si="0"/>
        <v>48.4</v>
      </c>
      <c r="I14" s="1">
        <f>H14-'IN-&amp;OUTPUT PRESSURES'!$C$19</f>
        <v>13.399999999999999</v>
      </c>
      <c r="J14" s="1">
        <f t="shared" si="1"/>
        <v>47.987780772686435</v>
      </c>
      <c r="M14" s="89" t="s">
        <v>19</v>
      </c>
      <c r="N14" s="90">
        <v>0.7</v>
      </c>
      <c r="O14" s="14" t="s">
        <v>20</v>
      </c>
      <c r="P14" s="14"/>
      <c r="Q14" s="14"/>
      <c r="R14" s="14"/>
      <c r="S14" s="14"/>
      <c r="T14" s="88"/>
      <c r="AD14">
        <f t="shared" si="3"/>
        <v>162</v>
      </c>
    </row>
    <row r="15" spans="1:30" x14ac:dyDescent="0.2">
      <c r="A15">
        <v>-1300</v>
      </c>
      <c r="B15">
        <v>1300</v>
      </c>
      <c r="C15" s="3">
        <f>+B15*(-'IN-&amp;OUTPUT PRESSURES'!C$8/'IN-&amp;OUTPUT PRESSURES'!C$3)</f>
        <v>136.6576819407008</v>
      </c>
      <c r="D15" s="3">
        <f>+B15*'IN-&amp;OUTPUT PRESSURES'!$C$16</f>
        <v>292.5</v>
      </c>
      <c r="E15" s="4">
        <f>B15*'IN-&amp;OUTPUT PRESSURES'!C$17</f>
        <v>208</v>
      </c>
      <c r="F15" s="4">
        <f t="shared" si="4"/>
        <v>185.86666666666667</v>
      </c>
      <c r="G15" s="1">
        <f t="shared" si="2"/>
        <v>22.133333333333333</v>
      </c>
      <c r="H15">
        <f t="shared" si="0"/>
        <v>51.6</v>
      </c>
      <c r="I15" s="1">
        <f>H15-'IN-&amp;OUTPUT PRESSURES'!$C$19</f>
        <v>16.600000000000001</v>
      </c>
      <c r="J15" s="1">
        <f t="shared" si="1"/>
        <v>49.20898472596587</v>
      </c>
      <c r="M15" s="89"/>
      <c r="N15" s="14"/>
      <c r="O15" s="14"/>
      <c r="P15" s="14"/>
      <c r="Q15" s="14"/>
      <c r="R15" s="14"/>
      <c r="S15" s="14"/>
      <c r="T15" s="88"/>
      <c r="AD15">
        <f t="shared" si="3"/>
        <v>175.5</v>
      </c>
    </row>
    <row r="16" spans="1:30" x14ac:dyDescent="0.2">
      <c r="A16">
        <v>-1400</v>
      </c>
      <c r="B16">
        <v>1400</v>
      </c>
      <c r="C16" s="3">
        <f>+B16*(-'IN-&amp;OUTPUT PRESSURES'!C$8/'IN-&amp;OUTPUT PRESSURES'!C$3)</f>
        <v>147.16981132075472</v>
      </c>
      <c r="D16" s="3">
        <f>+B16*'IN-&amp;OUTPUT PRESSURES'!$C$16</f>
        <v>315</v>
      </c>
      <c r="E16" s="4">
        <f>B16*'IN-&amp;OUTPUT PRESSURES'!C$17</f>
        <v>224</v>
      </c>
      <c r="F16" s="4">
        <f t="shared" si="4"/>
        <v>197.6</v>
      </c>
      <c r="G16" s="1">
        <f t="shared" si="2"/>
        <v>26.400000000000006</v>
      </c>
      <c r="H16">
        <f t="shared" si="0"/>
        <v>54.800000000000004</v>
      </c>
      <c r="I16" s="1">
        <f>H16-'IN-&amp;OUTPUT PRESSURES'!$C$19</f>
        <v>19.800000000000004</v>
      </c>
      <c r="J16" s="1">
        <f t="shared" si="1"/>
        <v>50.430188679245276</v>
      </c>
      <c r="M16" s="91" t="s">
        <v>21</v>
      </c>
      <c r="N16" s="14"/>
      <c r="O16" s="14"/>
      <c r="P16" s="14"/>
      <c r="Q16" s="14"/>
      <c r="R16" s="14"/>
      <c r="S16" s="14"/>
      <c r="T16" s="88"/>
      <c r="AD16">
        <f t="shared" si="3"/>
        <v>189</v>
      </c>
    </row>
    <row r="17" spans="1:30" x14ac:dyDescent="0.2">
      <c r="A17">
        <v>-1500</v>
      </c>
      <c r="B17">
        <v>1500</v>
      </c>
      <c r="C17" s="3">
        <f>+B17*(-'IN-&amp;OUTPUT PRESSURES'!C$8/'IN-&amp;OUTPUT PRESSURES'!C$3)</f>
        <v>157.68194070080864</v>
      </c>
      <c r="D17" s="3">
        <f>+B17*'IN-&amp;OUTPUT PRESSURES'!$C$16</f>
        <v>337.5</v>
      </c>
      <c r="E17" s="4">
        <f>B17*'IN-&amp;OUTPUT PRESSURES'!C$17</f>
        <v>240</v>
      </c>
      <c r="F17" s="4">
        <f t="shared" si="4"/>
        <v>209.33333333333334</v>
      </c>
      <c r="G17" s="1">
        <f t="shared" si="2"/>
        <v>30.666666666666668</v>
      </c>
      <c r="H17">
        <f t="shared" si="0"/>
        <v>58</v>
      </c>
      <c r="I17" s="1">
        <f>H17-'IN-&amp;OUTPUT PRESSURES'!$C$19</f>
        <v>23</v>
      </c>
      <c r="J17" s="1">
        <f t="shared" si="1"/>
        <v>51.65139263252469</v>
      </c>
      <c r="M17" s="89" t="s">
        <v>22</v>
      </c>
      <c r="N17" s="14"/>
      <c r="O17" s="14"/>
      <c r="P17" s="14"/>
      <c r="Q17" s="14"/>
      <c r="R17" s="14"/>
      <c r="S17" s="14"/>
      <c r="T17" s="88"/>
      <c r="AD17">
        <f t="shared" si="3"/>
        <v>202.5</v>
      </c>
    </row>
    <row r="18" spans="1:30" x14ac:dyDescent="0.2">
      <c r="A18">
        <v>-1600</v>
      </c>
      <c r="B18">
        <v>1600</v>
      </c>
      <c r="C18" s="3">
        <f>+B18*(-'IN-&amp;OUTPUT PRESSURES'!C$8/'IN-&amp;OUTPUT PRESSURES'!C$3)</f>
        <v>168.19407008086253</v>
      </c>
      <c r="D18" s="3">
        <f>+B18*'IN-&amp;OUTPUT PRESSURES'!$C$16</f>
        <v>360</v>
      </c>
      <c r="E18" s="4">
        <f>B18*'IN-&amp;OUTPUT PRESSURES'!C$17</f>
        <v>256</v>
      </c>
      <c r="F18" s="4">
        <f t="shared" si="4"/>
        <v>221.06666666666666</v>
      </c>
      <c r="G18" s="1">
        <f>10*(($Q$35*$Q$33*I18)/(1-$Q$34))</f>
        <v>34.933333333333337</v>
      </c>
      <c r="H18">
        <f t="shared" si="0"/>
        <v>61.2</v>
      </c>
      <c r="I18" s="1">
        <f>H18-'IN-&amp;OUTPUT PRESSURES'!$C$19</f>
        <v>26.200000000000003</v>
      </c>
      <c r="J18" s="1">
        <f t="shared" si="1"/>
        <v>52.872596585804132</v>
      </c>
      <c r="M18" s="89" t="s">
        <v>23</v>
      </c>
      <c r="N18" s="14"/>
      <c r="O18" s="14"/>
      <c r="P18" s="14"/>
      <c r="Q18" s="14"/>
      <c r="R18" s="14"/>
      <c r="S18" s="14"/>
      <c r="T18" s="88"/>
      <c r="AD18">
        <f t="shared" si="3"/>
        <v>216</v>
      </c>
    </row>
    <row r="19" spans="1:30" x14ac:dyDescent="0.2">
      <c r="A19">
        <v>-1700</v>
      </c>
      <c r="B19">
        <v>1700</v>
      </c>
      <c r="C19" s="3">
        <f>+B19*(-'IN-&amp;OUTPUT PRESSURES'!C$8/'IN-&amp;OUTPUT PRESSURES'!C$3)</f>
        <v>178.70619946091645</v>
      </c>
      <c r="D19" s="3">
        <f>+B19*'IN-&amp;OUTPUT PRESSURES'!$C$16</f>
        <v>382.5</v>
      </c>
      <c r="E19" s="4">
        <f>B19*'IN-&amp;OUTPUT PRESSURES'!C$17</f>
        <v>272</v>
      </c>
      <c r="F19" s="4">
        <f t="shared" si="4"/>
        <v>232.79999999999998</v>
      </c>
      <c r="G19" s="1">
        <f t="shared" si="2"/>
        <v>39.20000000000001</v>
      </c>
      <c r="H19">
        <f t="shared" si="0"/>
        <v>64.400000000000006</v>
      </c>
      <c r="I19" s="1">
        <f>H19-'IN-&amp;OUTPUT PRESSURES'!$C$19</f>
        <v>29.400000000000006</v>
      </c>
      <c r="J19" s="1">
        <f t="shared" si="1"/>
        <v>54.093800539083539</v>
      </c>
      <c r="M19" s="89"/>
      <c r="N19" s="14"/>
      <c r="O19" s="14"/>
      <c r="P19" s="14"/>
      <c r="Q19" s="14"/>
      <c r="R19" s="14"/>
      <c r="S19" s="14"/>
      <c r="T19" s="88"/>
      <c r="AD19">
        <f t="shared" si="3"/>
        <v>229.50000000000003</v>
      </c>
    </row>
    <row r="20" spans="1:30" x14ac:dyDescent="0.2">
      <c r="A20">
        <v>-1800</v>
      </c>
      <c r="B20">
        <v>1800</v>
      </c>
      <c r="C20" s="3">
        <f>+B20*(-'IN-&amp;OUTPUT PRESSURES'!C$8/'IN-&amp;OUTPUT PRESSURES'!C$3)</f>
        <v>189.21832884097034</v>
      </c>
      <c r="D20" s="3">
        <f>+B20*'IN-&amp;OUTPUT PRESSURES'!$C$16</f>
        <v>405</v>
      </c>
      <c r="E20" s="4">
        <f>B20*'IN-&amp;OUTPUT PRESSURES'!C$17</f>
        <v>288</v>
      </c>
      <c r="F20" s="4">
        <f t="shared" si="4"/>
        <v>244.53333333333333</v>
      </c>
      <c r="G20" s="1">
        <f t="shared" si="2"/>
        <v>43.466666666666669</v>
      </c>
      <c r="H20">
        <f t="shared" si="0"/>
        <v>67.599999999999994</v>
      </c>
      <c r="I20" s="1">
        <f>H20-'IN-&amp;OUTPUT PRESSURES'!$C$19</f>
        <v>32.599999999999994</v>
      </c>
      <c r="J20" s="1">
        <f t="shared" si="1"/>
        <v>55.315004492362988</v>
      </c>
      <c r="M20" s="92" t="s">
        <v>24</v>
      </c>
      <c r="N20" s="14"/>
      <c r="O20" s="14"/>
      <c r="P20" s="14"/>
      <c r="Q20" s="14"/>
      <c r="R20" s="14"/>
      <c r="S20" s="14"/>
      <c r="T20" s="88"/>
      <c r="AD20">
        <f t="shared" si="3"/>
        <v>243.00000000000003</v>
      </c>
    </row>
    <row r="21" spans="1:30" x14ac:dyDescent="0.2">
      <c r="A21">
        <v>-1900</v>
      </c>
      <c r="B21">
        <v>1900</v>
      </c>
      <c r="C21" s="3">
        <f>+B21*(-'IN-&amp;OUTPUT PRESSURES'!C$8/'IN-&amp;OUTPUT PRESSURES'!C$3)</f>
        <v>199.73045822102426</v>
      </c>
      <c r="D21" s="3">
        <f>+B21*'IN-&amp;OUTPUT PRESSURES'!$C$16</f>
        <v>427.5</v>
      </c>
      <c r="E21" s="4">
        <f>B21*'IN-&amp;OUTPUT PRESSURES'!C$17</f>
        <v>304</v>
      </c>
      <c r="F21" s="4">
        <f t="shared" si="4"/>
        <v>256.26666666666665</v>
      </c>
      <c r="G21" s="1">
        <f t="shared" si="2"/>
        <v>47.733333333333348</v>
      </c>
      <c r="H21">
        <f t="shared" si="0"/>
        <v>70.800000000000011</v>
      </c>
      <c r="I21" s="1">
        <f>H21-'IN-&amp;OUTPUT PRESSURES'!$C$19</f>
        <v>35.800000000000011</v>
      </c>
      <c r="J21" s="1">
        <f t="shared" si="1"/>
        <v>56.536208445642387</v>
      </c>
      <c r="M21" s="89" t="s">
        <v>25</v>
      </c>
      <c r="N21" s="14"/>
      <c r="O21" s="14"/>
      <c r="P21" s="14"/>
      <c r="Q21" s="14"/>
      <c r="R21" s="14"/>
      <c r="S21" s="14"/>
      <c r="T21" s="88"/>
      <c r="AD21">
        <f t="shared" si="3"/>
        <v>256.5</v>
      </c>
    </row>
    <row r="22" spans="1:30" x14ac:dyDescent="0.2">
      <c r="A22">
        <v>-2000</v>
      </c>
      <c r="B22">
        <v>2000</v>
      </c>
      <c r="C22" s="3">
        <f>+B22*(-'IN-&amp;OUTPUT PRESSURES'!C$8/'IN-&amp;OUTPUT PRESSURES'!C$3)</f>
        <v>210.24258760107816</v>
      </c>
      <c r="D22" s="3">
        <f>+B22*'IN-&amp;OUTPUT PRESSURES'!$C$16</f>
        <v>450</v>
      </c>
      <c r="E22" s="4">
        <f>B22*'IN-&amp;OUTPUT PRESSURES'!C$17</f>
        <v>320</v>
      </c>
      <c r="F22" s="4">
        <f t="shared" si="4"/>
        <v>268</v>
      </c>
      <c r="G22" s="1">
        <f t="shared" si="2"/>
        <v>52</v>
      </c>
      <c r="H22">
        <f t="shared" si="0"/>
        <v>74</v>
      </c>
      <c r="I22" s="1">
        <f>H22-'IN-&amp;OUTPUT PRESSURES'!$C$19</f>
        <v>39</v>
      </c>
      <c r="J22" s="1">
        <f t="shared" si="1"/>
        <v>57.757412398921844</v>
      </c>
      <c r="M22" s="93" t="s">
        <v>26</v>
      </c>
      <c r="N22" s="14"/>
      <c r="O22" s="14"/>
      <c r="P22" s="14"/>
      <c r="Q22" s="14"/>
      <c r="R22" s="14"/>
      <c r="S22" s="14"/>
      <c r="T22" s="88"/>
      <c r="AD22">
        <f t="shared" si="3"/>
        <v>270</v>
      </c>
    </row>
    <row r="23" spans="1:30" x14ac:dyDescent="0.2">
      <c r="A23">
        <v>-2100</v>
      </c>
      <c r="B23">
        <v>2100</v>
      </c>
      <c r="C23" s="3">
        <f>+B23*(-'IN-&amp;OUTPUT PRESSURES'!C$8/'IN-&amp;OUTPUT PRESSURES'!C$3)</f>
        <v>220.75471698113208</v>
      </c>
      <c r="D23" s="3">
        <f>+B23*'IN-&amp;OUTPUT PRESSURES'!$C$16</f>
        <v>472.5</v>
      </c>
      <c r="E23" s="4">
        <f>B23*'IN-&amp;OUTPUT PRESSURES'!C$17</f>
        <v>336</v>
      </c>
      <c r="F23" s="4">
        <f t="shared" si="4"/>
        <v>279.73333333333335</v>
      </c>
      <c r="G23" s="1">
        <f t="shared" si="2"/>
        <v>56.26666666666668</v>
      </c>
      <c r="H23">
        <f t="shared" si="0"/>
        <v>77.2</v>
      </c>
      <c r="I23" s="1">
        <f>H23-'IN-&amp;OUTPUT PRESSURES'!$C$19</f>
        <v>42.2</v>
      </c>
      <c r="J23" s="1">
        <f t="shared" si="1"/>
        <v>58.978616352201243</v>
      </c>
      <c r="M23" s="89" t="s">
        <v>27</v>
      </c>
      <c r="N23" s="94">
        <v>13.33</v>
      </c>
      <c r="O23" s="14" t="s">
        <v>28</v>
      </c>
      <c r="P23" s="14" t="s">
        <v>29</v>
      </c>
      <c r="Q23" s="14"/>
      <c r="R23" s="14"/>
      <c r="S23" s="14"/>
      <c r="T23" s="88"/>
      <c r="AD23">
        <f t="shared" si="3"/>
        <v>283.5</v>
      </c>
    </row>
    <row r="24" spans="1:30" x14ac:dyDescent="0.2">
      <c r="A24">
        <v>-2200</v>
      </c>
      <c r="B24">
        <v>2200</v>
      </c>
      <c r="C24" s="3">
        <f>+B24*(-'IN-&amp;OUTPUT PRESSURES'!C$8/'IN-&amp;OUTPUT PRESSURES'!C$3)</f>
        <v>231.266846361186</v>
      </c>
      <c r="D24" s="3">
        <f>+B24*'IN-&amp;OUTPUT PRESSURES'!$C$16</f>
        <v>495</v>
      </c>
      <c r="E24" s="4">
        <f>B24*'IN-&amp;OUTPUT PRESSURES'!C$17</f>
        <v>352</v>
      </c>
      <c r="F24" s="4">
        <f t="shared" si="4"/>
        <v>291.46666666666664</v>
      </c>
      <c r="G24" s="1">
        <f t="shared" si="2"/>
        <v>60.533333333333346</v>
      </c>
      <c r="H24">
        <f t="shared" si="0"/>
        <v>80.400000000000006</v>
      </c>
      <c r="I24" s="1">
        <f>H24-'IN-&amp;OUTPUT PRESSURES'!$C$19</f>
        <v>45.400000000000006</v>
      </c>
      <c r="J24" s="1">
        <f t="shared" si="1"/>
        <v>60.199820305480657</v>
      </c>
      <c r="M24" s="89"/>
      <c r="N24" s="14"/>
      <c r="O24" s="14"/>
      <c r="P24" s="14"/>
      <c r="Q24" s="14"/>
      <c r="R24" s="14"/>
      <c r="S24" s="14"/>
      <c r="T24" s="88"/>
      <c r="AD24">
        <f t="shared" si="3"/>
        <v>297</v>
      </c>
    </row>
    <row r="25" spans="1:30" x14ac:dyDescent="0.2">
      <c r="A25">
        <v>-2300</v>
      </c>
      <c r="B25">
        <v>2300</v>
      </c>
      <c r="C25" s="3">
        <f>+B25*(-'IN-&amp;OUTPUT PRESSURES'!C$8/'IN-&amp;OUTPUT PRESSURES'!C$3)</f>
        <v>241.77897574123989</v>
      </c>
      <c r="D25" s="3">
        <f>+B25*'IN-&amp;OUTPUT PRESSURES'!$C$16</f>
        <v>517.5</v>
      </c>
      <c r="E25" s="4">
        <f>B25*'IN-&amp;OUTPUT PRESSURES'!C$17</f>
        <v>368</v>
      </c>
      <c r="F25" s="4">
        <f t="shared" si="4"/>
        <v>303.2</v>
      </c>
      <c r="G25" s="1">
        <f>10*(($Q$35*$Q$33*I25)/(1-$Q$34))</f>
        <v>64.800000000000011</v>
      </c>
      <c r="H25">
        <f t="shared" si="0"/>
        <v>83.600000000000009</v>
      </c>
      <c r="I25" s="1">
        <f>H25-'IN-&amp;OUTPUT PRESSURES'!$C$19</f>
        <v>48.600000000000009</v>
      </c>
      <c r="J25" s="1">
        <f t="shared" si="1"/>
        <v>61.421024258760099</v>
      </c>
      <c r="M25" s="89"/>
      <c r="N25" s="14"/>
      <c r="O25" s="14"/>
      <c r="P25" s="14"/>
      <c r="Q25" s="14"/>
      <c r="R25" s="14"/>
      <c r="S25" s="14"/>
      <c r="T25" s="88"/>
      <c r="AD25">
        <f t="shared" si="3"/>
        <v>310.5</v>
      </c>
    </row>
    <row r="26" spans="1:30" x14ac:dyDescent="0.2">
      <c r="A26">
        <v>-2400</v>
      </c>
      <c r="B26">
        <v>2400</v>
      </c>
      <c r="C26" s="3">
        <f>+B26*(-'IN-&amp;OUTPUT PRESSURES'!C$8/'IN-&amp;OUTPUT PRESSURES'!C$3)</f>
        <v>252.29110512129381</v>
      </c>
      <c r="D26" s="3">
        <f>+B26*'IN-&amp;OUTPUT PRESSURES'!$C$16</f>
        <v>540</v>
      </c>
      <c r="E26" s="4">
        <f>B26*'IN-&amp;OUTPUT PRESSURES'!C$17</f>
        <v>384</v>
      </c>
      <c r="F26" s="4">
        <f t="shared" si="4"/>
        <v>314.93333333333334</v>
      </c>
      <c r="G26" s="1">
        <f t="shared" si="2"/>
        <v>69.066666666666663</v>
      </c>
      <c r="H26">
        <f t="shared" si="0"/>
        <v>86.8</v>
      </c>
      <c r="I26" s="1">
        <f>H26-'IN-&amp;OUTPUT PRESSURES'!$C$19</f>
        <v>51.8</v>
      </c>
      <c r="J26" s="1">
        <f t="shared" si="1"/>
        <v>62.642228212039527</v>
      </c>
      <c r="M26" s="89" t="s">
        <v>33</v>
      </c>
      <c r="N26" s="14">
        <f>'IN-&amp;OUTPUT PRESSURES'!C23</f>
        <v>3.2000000000000001E-2</v>
      </c>
      <c r="O26" s="14"/>
      <c r="P26" s="14"/>
      <c r="Q26" s="14"/>
      <c r="R26" s="14"/>
      <c r="S26" s="14"/>
      <c r="T26" s="88"/>
      <c r="AD26">
        <f t="shared" si="3"/>
        <v>324</v>
      </c>
    </row>
    <row r="27" spans="1:30" x14ac:dyDescent="0.2">
      <c r="A27">
        <v>-2500</v>
      </c>
      <c r="B27">
        <v>2500</v>
      </c>
      <c r="C27" s="3">
        <f>+B27*(-'IN-&amp;OUTPUT PRESSURES'!C$8/'IN-&amp;OUTPUT PRESSURES'!C$3)</f>
        <v>262.80323450134773</v>
      </c>
      <c r="D27" s="3">
        <f>+B27*'IN-&amp;OUTPUT PRESSURES'!$C$16</f>
        <v>562.5</v>
      </c>
      <c r="E27" s="4">
        <f>B27*'IN-&amp;OUTPUT PRESSURES'!C$17</f>
        <v>400</v>
      </c>
      <c r="F27" s="4">
        <f t="shared" si="4"/>
        <v>326.66666666666669</v>
      </c>
      <c r="G27" s="1">
        <f t="shared" si="2"/>
        <v>73.333333333333329</v>
      </c>
      <c r="H27">
        <f t="shared" si="0"/>
        <v>90</v>
      </c>
      <c r="I27" s="1">
        <f>H27-'IN-&amp;OUTPUT PRESSURES'!$C$19</f>
        <v>55</v>
      </c>
      <c r="J27" s="1">
        <f t="shared" si="1"/>
        <v>63.86343216531894</v>
      </c>
      <c r="M27" s="89" t="s">
        <v>34</v>
      </c>
      <c r="N27" s="14">
        <f>'IN-&amp;OUTPUT PRESSURES'!C24</f>
        <v>10</v>
      </c>
      <c r="O27" s="14"/>
      <c r="P27" s="14"/>
      <c r="Q27" s="14"/>
      <c r="R27" s="14"/>
      <c r="S27" s="14"/>
      <c r="T27" s="88"/>
      <c r="AD27">
        <f t="shared" si="3"/>
        <v>337.5</v>
      </c>
    </row>
    <row r="28" spans="1:30" x14ac:dyDescent="0.2">
      <c r="A28">
        <v>-2600</v>
      </c>
      <c r="B28">
        <v>2600</v>
      </c>
      <c r="C28" s="3">
        <f>+B28*(-'IN-&amp;OUTPUT PRESSURES'!C$8/'IN-&amp;OUTPUT PRESSURES'!C$3)</f>
        <v>273.31536388140159</v>
      </c>
      <c r="D28" s="3">
        <f>+B28*'IN-&amp;OUTPUT PRESSURES'!$C$16</f>
        <v>585</v>
      </c>
      <c r="E28" s="4">
        <f>B28*'IN-&amp;OUTPUT PRESSURES'!C$17</f>
        <v>416</v>
      </c>
      <c r="F28" s="4">
        <f t="shared" si="4"/>
        <v>338.4</v>
      </c>
      <c r="G28" s="1">
        <f t="shared" si="2"/>
        <v>77.600000000000009</v>
      </c>
      <c r="H28">
        <f t="shared" si="0"/>
        <v>93.2</v>
      </c>
      <c r="I28" s="1">
        <f>H28-'IN-&amp;OUTPUT PRESSURES'!$C$19</f>
        <v>58.2</v>
      </c>
      <c r="J28" s="1">
        <f t="shared" si="1"/>
        <v>65.084636118598397</v>
      </c>
      <c r="M28" s="89"/>
      <c r="N28" s="14"/>
      <c r="O28" s="14"/>
      <c r="P28" s="14"/>
      <c r="Q28" s="14"/>
      <c r="R28" s="14"/>
      <c r="S28" s="14"/>
      <c r="T28" s="88"/>
      <c r="AD28">
        <f t="shared" si="3"/>
        <v>351</v>
      </c>
    </row>
    <row r="29" spans="1:30" x14ac:dyDescent="0.2">
      <c r="A29">
        <v>-2700</v>
      </c>
      <c r="B29">
        <v>2700</v>
      </c>
      <c r="C29" s="3">
        <f>+B29*(-'IN-&amp;OUTPUT PRESSURES'!C$8/'IN-&amp;OUTPUT PRESSURES'!C$3)</f>
        <v>283.82749326145552</v>
      </c>
      <c r="D29" s="3">
        <f>+B29*'IN-&amp;OUTPUT PRESSURES'!$C$16</f>
        <v>607.5</v>
      </c>
      <c r="E29" s="4">
        <f>B29*'IN-&amp;OUTPUT PRESSURES'!C$17</f>
        <v>432</v>
      </c>
      <c r="F29" s="4">
        <f t="shared" si="4"/>
        <v>350.13333333333333</v>
      </c>
      <c r="G29" s="1">
        <f t="shared" si="2"/>
        <v>81.866666666666674</v>
      </c>
      <c r="H29">
        <f t="shared" si="0"/>
        <v>96.4</v>
      </c>
      <c r="I29" s="1">
        <f>H29-'IN-&amp;OUTPUT PRESSURES'!$C$19</f>
        <v>61.400000000000006</v>
      </c>
      <c r="J29" s="1">
        <f t="shared" si="1"/>
        <v>66.30584007187781</v>
      </c>
      <c r="M29" s="89"/>
      <c r="N29" s="14"/>
      <c r="O29" s="14"/>
      <c r="P29" s="14"/>
      <c r="Q29" s="14"/>
      <c r="R29" s="14"/>
      <c r="S29" s="14"/>
      <c r="T29" s="88"/>
      <c r="AD29">
        <f t="shared" si="3"/>
        <v>364.5</v>
      </c>
    </row>
    <row r="30" spans="1:30" x14ac:dyDescent="0.2">
      <c r="A30">
        <v>-2800</v>
      </c>
      <c r="B30">
        <v>2800</v>
      </c>
      <c r="C30" s="3">
        <f>+B30*(-'IN-&amp;OUTPUT PRESSURES'!C$8/'IN-&amp;OUTPUT PRESSURES'!C$3)</f>
        <v>294.33962264150944</v>
      </c>
      <c r="D30" s="3">
        <f>+B30*'IN-&amp;OUTPUT PRESSURES'!$C$16</f>
        <v>630</v>
      </c>
      <c r="E30" s="4">
        <f>B30*'IN-&amp;OUTPUT PRESSURES'!C$17</f>
        <v>448</v>
      </c>
      <c r="F30" s="4">
        <f t="shared" si="4"/>
        <v>361.86666666666667</v>
      </c>
      <c r="G30" s="1">
        <f t="shared" si="2"/>
        <v>86.133333333333354</v>
      </c>
      <c r="H30">
        <f t="shared" si="0"/>
        <v>99.600000000000009</v>
      </c>
      <c r="I30" s="1">
        <f>H30-'IN-&amp;OUTPUT PRESSURES'!$C$19</f>
        <v>64.600000000000009</v>
      </c>
      <c r="J30" s="1">
        <f t="shared" si="1"/>
        <v>67.52704402515721</v>
      </c>
      <c r="M30" s="89"/>
      <c r="N30" s="14" t="s">
        <v>35</v>
      </c>
      <c r="O30" s="14"/>
      <c r="P30" s="14"/>
      <c r="Q30" s="14" t="s">
        <v>36</v>
      </c>
      <c r="R30" s="14"/>
      <c r="S30" s="14"/>
      <c r="T30" s="88"/>
      <c r="AD30">
        <f t="shared" si="3"/>
        <v>378</v>
      </c>
    </row>
    <row r="31" spans="1:30" x14ac:dyDescent="0.2">
      <c r="A31">
        <v>-2900</v>
      </c>
      <c r="B31">
        <v>2900</v>
      </c>
      <c r="C31" s="3">
        <f>+B31*(-'IN-&amp;OUTPUT PRESSURES'!C$8/'IN-&amp;OUTPUT PRESSURES'!C$3)</f>
        <v>304.85175202156336</v>
      </c>
      <c r="D31" s="3">
        <f>+B31*'IN-&amp;OUTPUT PRESSURES'!$C$16</f>
        <v>652.5</v>
      </c>
      <c r="E31" s="4">
        <f>B31*'IN-&amp;OUTPUT PRESSURES'!C$17</f>
        <v>464</v>
      </c>
      <c r="F31" s="4">
        <f t="shared" si="4"/>
        <v>373.6</v>
      </c>
      <c r="G31" s="1">
        <f t="shared" si="2"/>
        <v>90.4</v>
      </c>
      <c r="H31">
        <f t="shared" si="0"/>
        <v>102.8</v>
      </c>
      <c r="I31" s="1">
        <f>H31-'IN-&amp;OUTPUT PRESSURES'!$C$19</f>
        <v>67.8</v>
      </c>
      <c r="J31" s="1">
        <f t="shared" si="1"/>
        <v>68.748247978436638</v>
      </c>
      <c r="M31" s="89" t="s">
        <v>37</v>
      </c>
      <c r="N31" s="14" t="s">
        <v>38</v>
      </c>
      <c r="O31" s="14"/>
      <c r="P31" s="14"/>
      <c r="Q31" s="14" t="s">
        <v>39</v>
      </c>
      <c r="R31" s="14"/>
      <c r="S31" s="14"/>
      <c r="T31" s="88"/>
      <c r="AD31">
        <f t="shared" si="3"/>
        <v>391.5</v>
      </c>
    </row>
    <row r="32" spans="1:30" x14ac:dyDescent="0.2">
      <c r="A32">
        <v>-3000</v>
      </c>
      <c r="B32">
        <v>3000</v>
      </c>
      <c r="C32" s="3">
        <f>+B32*(-'IN-&amp;OUTPUT PRESSURES'!C$8/'IN-&amp;OUTPUT PRESSURES'!C$3)</f>
        <v>315.36388140161728</v>
      </c>
      <c r="D32" s="3">
        <f>+B32*'IN-&amp;OUTPUT PRESSURES'!$C$16</f>
        <v>675</v>
      </c>
      <c r="E32" s="4">
        <f>B32*'IN-&amp;OUTPUT PRESSURES'!C$17</f>
        <v>480</v>
      </c>
      <c r="F32" s="4">
        <f t="shared" si="4"/>
        <v>385.33333333333331</v>
      </c>
      <c r="G32" s="1">
        <f t="shared" si="2"/>
        <v>94.666666666666671</v>
      </c>
      <c r="H32">
        <f t="shared" si="0"/>
        <v>106</v>
      </c>
      <c r="I32" s="1">
        <f>H32-'IN-&amp;OUTPUT PRESSURES'!$C$19</f>
        <v>71</v>
      </c>
      <c r="J32" s="1">
        <f t="shared" si="1"/>
        <v>69.969451931716051</v>
      </c>
      <c r="M32" s="87" t="s">
        <v>41</v>
      </c>
      <c r="N32" s="14"/>
      <c r="O32" s="14"/>
      <c r="P32" s="14"/>
      <c r="Q32" s="14"/>
      <c r="R32" s="14"/>
      <c r="S32" s="14"/>
      <c r="T32" s="88"/>
      <c r="AD32">
        <f t="shared" si="3"/>
        <v>405</v>
      </c>
    </row>
    <row r="33" spans="1:30" x14ac:dyDescent="0.2">
      <c r="A33">
        <v>-3100</v>
      </c>
      <c r="B33">
        <v>3100</v>
      </c>
      <c r="C33" s="3">
        <f>+B33*(-'IN-&amp;OUTPUT PRESSURES'!C$8/'IN-&amp;OUTPUT PRESSURES'!C$3)</f>
        <v>325.87601078167114</v>
      </c>
      <c r="D33" s="3">
        <f>+B33*'IN-&amp;OUTPUT PRESSURES'!$C$16</f>
        <v>697.5</v>
      </c>
      <c r="E33" s="4">
        <f>B33*'IN-&amp;OUTPUT PRESSURES'!C$17</f>
        <v>496</v>
      </c>
      <c r="F33" s="4">
        <f t="shared" si="4"/>
        <v>397.06666666666666</v>
      </c>
      <c r="G33" s="1">
        <f t="shared" si="2"/>
        <v>98.933333333333337</v>
      </c>
      <c r="H33">
        <f t="shared" si="0"/>
        <v>109.2</v>
      </c>
      <c r="I33" s="1">
        <f>H33-'IN-&amp;OUTPUT PRESSURES'!$C$19</f>
        <v>74.2</v>
      </c>
      <c r="J33" s="1">
        <f t="shared" si="1"/>
        <v>71.190655884995522</v>
      </c>
      <c r="M33" s="89" t="s">
        <v>42</v>
      </c>
      <c r="N33" s="95">
        <v>2000</v>
      </c>
      <c r="O33" s="96" t="s">
        <v>43</v>
      </c>
      <c r="P33" s="14"/>
      <c r="Q33" s="95">
        <f>'IN-&amp;OUTPUT PRESSURES'!C26</f>
        <v>10000</v>
      </c>
      <c r="R33" s="96" t="s">
        <v>43</v>
      </c>
      <c r="S33" s="14"/>
      <c r="T33" s="88"/>
      <c r="AD33">
        <f t="shared" si="3"/>
        <v>418.5</v>
      </c>
    </row>
    <row r="34" spans="1:30" x14ac:dyDescent="0.2">
      <c r="A34">
        <v>-3200</v>
      </c>
      <c r="B34">
        <v>3200</v>
      </c>
      <c r="C34" s="3">
        <f>+B34*(-'IN-&amp;OUTPUT PRESSURES'!C$8/'IN-&amp;OUTPUT PRESSURES'!C$3)</f>
        <v>336.38814016172506</v>
      </c>
      <c r="D34" s="3">
        <f>+B34*'IN-&amp;OUTPUT PRESSURES'!$C$16</f>
        <v>720</v>
      </c>
      <c r="E34" s="4">
        <f>B34*'IN-&amp;OUTPUT PRESSURES'!C$17</f>
        <v>512</v>
      </c>
      <c r="F34" s="4">
        <f t="shared" si="4"/>
        <v>408.79999999999995</v>
      </c>
      <c r="G34" s="1">
        <f t="shared" si="2"/>
        <v>103.20000000000002</v>
      </c>
      <c r="H34">
        <f t="shared" si="0"/>
        <v>112.4</v>
      </c>
      <c r="I34" s="1">
        <f>H34-'IN-&amp;OUTPUT PRESSURES'!$C$19</f>
        <v>77.400000000000006</v>
      </c>
      <c r="J34" s="1">
        <f t="shared" si="1"/>
        <v>72.411859838274921</v>
      </c>
      <c r="M34" s="89" t="s">
        <v>44</v>
      </c>
      <c r="N34" s="96">
        <v>0.25</v>
      </c>
      <c r="O34" s="97" t="s">
        <v>45</v>
      </c>
      <c r="P34" s="14"/>
      <c r="Q34" s="103">
        <f>'IN-&amp;OUTPUT PRESSURES'!C27</f>
        <v>0.25</v>
      </c>
      <c r="R34" s="97" t="s">
        <v>45</v>
      </c>
      <c r="S34" s="14"/>
      <c r="T34" s="88"/>
      <c r="AD34">
        <f t="shared" si="3"/>
        <v>432</v>
      </c>
    </row>
    <row r="35" spans="1:30" x14ac:dyDescent="0.2">
      <c r="A35">
        <v>-3300</v>
      </c>
      <c r="B35">
        <v>3300</v>
      </c>
      <c r="C35" s="3">
        <f>+B35*(-'IN-&amp;OUTPUT PRESSURES'!C$8/'IN-&amp;OUTPUT PRESSURES'!C$3)</f>
        <v>346.90026954177898</v>
      </c>
      <c r="D35" s="3">
        <f>+B35*'IN-&amp;OUTPUT PRESSURES'!$C$16</f>
        <v>742.5</v>
      </c>
      <c r="E35" s="4">
        <f>B35*'IN-&amp;OUTPUT PRESSURES'!C$17</f>
        <v>528</v>
      </c>
      <c r="F35" s="4">
        <f t="shared" si="4"/>
        <v>420.5333333333333</v>
      </c>
      <c r="G35" s="1">
        <f t="shared" si="2"/>
        <v>107.46666666666668</v>
      </c>
      <c r="H35">
        <f t="shared" si="0"/>
        <v>115.60000000000001</v>
      </c>
      <c r="I35" s="1">
        <f>H35-'IN-&amp;OUTPUT PRESSURES'!$C$19</f>
        <v>80.600000000000009</v>
      </c>
      <c r="J35" s="1">
        <f t="shared" si="1"/>
        <v>73.633063791554335</v>
      </c>
      <c r="M35" s="89" t="s">
        <v>46</v>
      </c>
      <c r="N35" s="95">
        <f>0.00001</f>
        <v>1.0000000000000001E-5</v>
      </c>
      <c r="O35" s="96" t="s">
        <v>47</v>
      </c>
      <c r="P35" s="14"/>
      <c r="Q35" s="95">
        <f>'IN-&amp;OUTPUT PRESSURES'!C30</f>
        <v>1.0000000000000001E-5</v>
      </c>
      <c r="R35" s="96" t="s">
        <v>47</v>
      </c>
      <c r="S35" s="14"/>
      <c r="T35" s="88"/>
      <c r="AD35">
        <f t="shared" si="3"/>
        <v>445.50000000000006</v>
      </c>
    </row>
    <row r="36" spans="1:30" x14ac:dyDescent="0.2">
      <c r="A36">
        <v>-3400</v>
      </c>
      <c r="B36">
        <v>3400</v>
      </c>
      <c r="C36" s="3">
        <f>+B36*(-'IN-&amp;OUTPUT PRESSURES'!C$8/'IN-&amp;OUTPUT PRESSURES'!C$3)</f>
        <v>357.4123989218329</v>
      </c>
      <c r="D36" s="3">
        <f>+B36*'IN-&amp;OUTPUT PRESSURES'!$C$16</f>
        <v>765</v>
      </c>
      <c r="E36" s="4">
        <f>B36*'IN-&amp;OUTPUT PRESSURES'!C$17</f>
        <v>544</v>
      </c>
      <c r="F36" s="4">
        <f t="shared" si="4"/>
        <v>432.26666666666665</v>
      </c>
      <c r="G36" s="1">
        <f t="shared" ref="G36:G46" si="5">10*(($Q$35*$Q$33*I36)/(1-$Q$34))</f>
        <v>111.73333333333333</v>
      </c>
      <c r="H36">
        <f t="shared" si="0"/>
        <v>118.8</v>
      </c>
      <c r="I36" s="1">
        <f>H36-'IN-&amp;OUTPUT PRESSURES'!$C$19</f>
        <v>83.8</v>
      </c>
      <c r="J36" s="1">
        <f t="shared" si="1"/>
        <v>74.854267744833763</v>
      </c>
      <c r="M36" s="89" t="s">
        <v>48</v>
      </c>
      <c r="N36" s="14">
        <v>10</v>
      </c>
      <c r="O36" s="14" t="s">
        <v>49</v>
      </c>
      <c r="P36" s="14"/>
      <c r="Q36" s="14">
        <v>10</v>
      </c>
      <c r="R36" s="14" t="s">
        <v>49</v>
      </c>
      <c r="S36" s="14"/>
      <c r="T36" s="88"/>
      <c r="AD36">
        <f t="shared" si="3"/>
        <v>459.00000000000006</v>
      </c>
    </row>
    <row r="37" spans="1:30" x14ac:dyDescent="0.2">
      <c r="A37">
        <v>-3500</v>
      </c>
      <c r="B37">
        <v>3500</v>
      </c>
      <c r="C37" s="3">
        <f>+B37*(-'IN-&amp;OUTPUT PRESSURES'!C$8/'IN-&amp;OUTPUT PRESSURES'!C$3)</f>
        <v>367.92452830188677</v>
      </c>
      <c r="D37" s="3">
        <f>+B37*'IN-&amp;OUTPUT PRESSURES'!$C$16</f>
        <v>787.5</v>
      </c>
      <c r="E37" s="4">
        <f>B37*'IN-&amp;OUTPUT PRESSURES'!C$17</f>
        <v>560</v>
      </c>
      <c r="F37" s="4">
        <f t="shared" si="4"/>
        <v>444</v>
      </c>
      <c r="G37" s="1">
        <f t="shared" si="5"/>
        <v>116.00000000000001</v>
      </c>
      <c r="H37">
        <f t="shared" si="0"/>
        <v>122</v>
      </c>
      <c r="I37" s="1">
        <f>H37-'IN-&amp;OUTPUT PRESSURES'!$C$19</f>
        <v>87</v>
      </c>
      <c r="J37" s="1">
        <f t="shared" si="1"/>
        <v>76.075471698113219</v>
      </c>
      <c r="M37" s="89"/>
      <c r="N37" s="14"/>
      <c r="O37" s="14"/>
      <c r="P37" s="14"/>
      <c r="Q37" s="14"/>
      <c r="R37" s="14"/>
      <c r="S37" s="14"/>
      <c r="T37" s="88"/>
      <c r="AD37">
        <f t="shared" si="3"/>
        <v>472.50000000000006</v>
      </c>
    </row>
    <row r="38" spans="1:30" x14ac:dyDescent="0.2">
      <c r="A38">
        <v>-3600</v>
      </c>
      <c r="B38">
        <v>3600</v>
      </c>
      <c r="C38" s="3">
        <f>+B38*(-'IN-&amp;OUTPUT PRESSURES'!C$8/'IN-&amp;OUTPUT PRESSURES'!C$3)</f>
        <v>378.43665768194069</v>
      </c>
      <c r="D38" s="3">
        <f>+B38*'IN-&amp;OUTPUT PRESSURES'!$C$16</f>
        <v>810</v>
      </c>
      <c r="E38" s="4">
        <f>B38*'IN-&amp;OUTPUT PRESSURES'!C$17</f>
        <v>576</v>
      </c>
      <c r="F38" s="4">
        <f t="shared" si="4"/>
        <v>455.73333333333329</v>
      </c>
      <c r="G38" s="1">
        <f t="shared" si="5"/>
        <v>120.26666666666669</v>
      </c>
      <c r="H38">
        <f t="shared" si="0"/>
        <v>125.2</v>
      </c>
      <c r="I38" s="1">
        <f>H38-'IN-&amp;OUTPUT PRESSURES'!$C$19</f>
        <v>90.2</v>
      </c>
      <c r="J38" s="1">
        <f t="shared" si="1"/>
        <v>77.296675651392619</v>
      </c>
      <c r="M38" s="89"/>
      <c r="N38" s="14"/>
      <c r="O38" s="14"/>
      <c r="P38" s="14"/>
      <c r="Q38" s="14"/>
      <c r="R38" s="14"/>
      <c r="S38" s="14"/>
      <c r="T38" s="88"/>
      <c r="AD38">
        <f t="shared" si="3"/>
        <v>486.00000000000006</v>
      </c>
    </row>
    <row r="39" spans="1:30" x14ac:dyDescent="0.2">
      <c r="A39">
        <v>-3700</v>
      </c>
      <c r="B39">
        <v>3700</v>
      </c>
      <c r="C39" s="3">
        <f>+B39*(-'IN-&amp;OUTPUT PRESSURES'!C$8/'IN-&amp;OUTPUT PRESSURES'!C$3)</f>
        <v>388.94878706199461</v>
      </c>
      <c r="D39" s="3">
        <f>+B39*'IN-&amp;OUTPUT PRESSURES'!$C$16</f>
        <v>832.5</v>
      </c>
      <c r="E39" s="4">
        <f>B39*'IN-&amp;OUTPUT PRESSURES'!C$17</f>
        <v>592</v>
      </c>
      <c r="F39" s="4">
        <f t="shared" si="4"/>
        <v>467.46666666666664</v>
      </c>
      <c r="G39" s="1">
        <f t="shared" si="5"/>
        <v>124.53333333333335</v>
      </c>
      <c r="H39">
        <f t="shared" si="0"/>
        <v>128.4</v>
      </c>
      <c r="I39" s="1">
        <f>H39-'IN-&amp;OUTPUT PRESSURES'!$C$19</f>
        <v>93.4</v>
      </c>
      <c r="J39" s="1">
        <f t="shared" si="1"/>
        <v>78.517879604672046</v>
      </c>
      <c r="M39" s="93" t="s">
        <v>50</v>
      </c>
      <c r="N39" s="6">
        <f>((N35*N33*N36)/(1-N34))</f>
        <v>0.26666666666666666</v>
      </c>
      <c r="O39" s="96" t="s">
        <v>43</v>
      </c>
      <c r="P39" s="14"/>
      <c r="Q39" s="6">
        <f>(($Q$35*$Q$33*Q36)/(1-$Q$34))</f>
        <v>1.3333333333333333</v>
      </c>
      <c r="R39" s="96" t="s">
        <v>43</v>
      </c>
      <c r="S39" s="14"/>
      <c r="T39" s="88"/>
      <c r="AD39">
        <f t="shared" si="3"/>
        <v>499.50000000000006</v>
      </c>
    </row>
    <row r="40" spans="1:30" x14ac:dyDescent="0.2">
      <c r="A40">
        <v>-3800</v>
      </c>
      <c r="B40">
        <v>3800</v>
      </c>
      <c r="C40" s="3">
        <f>+B40*(-'IN-&amp;OUTPUT PRESSURES'!C$8/'IN-&amp;OUTPUT PRESSURES'!C$3)</f>
        <v>399.46091644204853</v>
      </c>
      <c r="D40" s="3">
        <f>+B40*'IN-&amp;OUTPUT PRESSURES'!$C$16</f>
        <v>855</v>
      </c>
      <c r="E40" s="4">
        <f>B40*'IN-&amp;OUTPUT PRESSURES'!C$17</f>
        <v>608</v>
      </c>
      <c r="F40" s="4">
        <f t="shared" si="4"/>
        <v>479.19999999999993</v>
      </c>
      <c r="G40" s="1">
        <f t="shared" si="5"/>
        <v>128.80000000000004</v>
      </c>
      <c r="H40">
        <f t="shared" si="0"/>
        <v>131.60000000000002</v>
      </c>
      <c r="I40" s="1">
        <f>H40-'IN-&amp;OUTPUT PRESSURES'!$C$19</f>
        <v>96.600000000000023</v>
      </c>
      <c r="J40" s="1">
        <f t="shared" si="1"/>
        <v>79.739083557951432</v>
      </c>
      <c r="M40" s="89"/>
      <c r="N40" s="6">
        <f>N39*10</f>
        <v>2.6666666666666665</v>
      </c>
      <c r="O40" s="96" t="s">
        <v>28</v>
      </c>
      <c r="P40" s="14"/>
      <c r="Q40" s="6">
        <f>Q39*10</f>
        <v>13.333333333333332</v>
      </c>
      <c r="R40" s="96" t="s">
        <v>28</v>
      </c>
      <c r="S40" s="14"/>
      <c r="T40" s="88"/>
      <c r="AD40">
        <f t="shared" si="3"/>
        <v>513</v>
      </c>
    </row>
    <row r="41" spans="1:30" x14ac:dyDescent="0.2">
      <c r="A41">
        <v>-3900</v>
      </c>
      <c r="B41">
        <v>3900</v>
      </c>
      <c r="C41" s="3">
        <f>+B41*(-'IN-&amp;OUTPUT PRESSURES'!C$8/'IN-&amp;OUTPUT PRESSURES'!C$3)</f>
        <v>409.97304582210245</v>
      </c>
      <c r="D41" s="3">
        <f>+B41*'IN-&amp;OUTPUT PRESSURES'!$C$16</f>
        <v>877.5</v>
      </c>
      <c r="E41" s="4">
        <f>B41*'IN-&amp;OUTPUT PRESSURES'!C$17</f>
        <v>624</v>
      </c>
      <c r="F41" s="4">
        <f t="shared" si="4"/>
        <v>490.93333333333328</v>
      </c>
      <c r="G41" s="1">
        <f t="shared" si="5"/>
        <v>133.06666666666669</v>
      </c>
      <c r="H41">
        <f t="shared" si="0"/>
        <v>134.80000000000001</v>
      </c>
      <c r="I41" s="1">
        <f>H41-'IN-&amp;OUTPUT PRESSURES'!$C$19</f>
        <v>99.800000000000011</v>
      </c>
      <c r="J41" s="1">
        <f t="shared" si="1"/>
        <v>80.96028751123086</v>
      </c>
      <c r="M41" s="89"/>
      <c r="N41" s="14"/>
      <c r="O41" s="14"/>
      <c r="P41" s="14"/>
      <c r="Q41" s="14"/>
      <c r="R41" s="14"/>
      <c r="S41" s="14"/>
      <c r="T41" s="88"/>
      <c r="AD41">
        <f t="shared" si="3"/>
        <v>526.5</v>
      </c>
    </row>
    <row r="42" spans="1:30" x14ac:dyDescent="0.2">
      <c r="A42">
        <v>-4000</v>
      </c>
      <c r="B42">
        <v>4000</v>
      </c>
      <c r="C42" s="3">
        <f>+B42*(-'IN-&amp;OUTPUT PRESSURES'!C$8/'IN-&amp;OUTPUT PRESSURES'!C$3)</f>
        <v>420.48517520215631</v>
      </c>
      <c r="D42" s="3">
        <f>+B42*'IN-&amp;OUTPUT PRESSURES'!$C$16</f>
        <v>900</v>
      </c>
      <c r="E42" s="4">
        <f>B42*'IN-&amp;OUTPUT PRESSURES'!C$17</f>
        <v>640</v>
      </c>
      <c r="F42" s="4">
        <f t="shared" si="4"/>
        <v>502.66666666666663</v>
      </c>
      <c r="G42" s="1">
        <f t="shared" si="5"/>
        <v>137.33333333333334</v>
      </c>
      <c r="H42">
        <f t="shared" si="0"/>
        <v>138</v>
      </c>
      <c r="I42" s="1">
        <f>H42-'IN-&amp;OUTPUT PRESSURES'!$C$19</f>
        <v>103</v>
      </c>
      <c r="J42" s="1">
        <f t="shared" si="1"/>
        <v>82.181491464510344</v>
      </c>
      <c r="M42" s="98" t="s">
        <v>40</v>
      </c>
      <c r="N42" s="99"/>
      <c r="O42" s="99"/>
      <c r="P42" s="99"/>
      <c r="Q42" s="99"/>
      <c r="R42" s="99"/>
      <c r="S42" s="99"/>
      <c r="T42" s="100"/>
      <c r="AD42">
        <f t="shared" si="3"/>
        <v>540</v>
      </c>
    </row>
    <row r="43" spans="1:30" x14ac:dyDescent="0.2">
      <c r="A43">
        <v>-4100</v>
      </c>
      <c r="B43">
        <v>4100</v>
      </c>
      <c r="C43" s="3">
        <f>+B43*(-'IN-&amp;OUTPUT PRESSURES'!C$8/'IN-&amp;OUTPUT PRESSURES'!C$3)</f>
        <v>430.99730458221023</v>
      </c>
      <c r="D43" s="3">
        <f>+B43*'IN-&amp;OUTPUT PRESSURES'!$C$16</f>
        <v>922.5</v>
      </c>
      <c r="E43" s="4">
        <f>B43*'IN-&amp;OUTPUT PRESSURES'!C$17</f>
        <v>656</v>
      </c>
      <c r="F43" s="4">
        <f t="shared" si="4"/>
        <v>514.4</v>
      </c>
      <c r="G43" s="1">
        <f t="shared" si="5"/>
        <v>141.6</v>
      </c>
      <c r="H43">
        <f t="shared" si="0"/>
        <v>141.19999999999999</v>
      </c>
      <c r="I43" s="1">
        <f>H43-'IN-&amp;OUTPUT PRESSURES'!$C$19</f>
        <v>106.19999999999999</v>
      </c>
      <c r="J43" s="1">
        <f t="shared" si="1"/>
        <v>83.402695417789772</v>
      </c>
      <c r="AD43">
        <f t="shared" si="3"/>
        <v>553.5</v>
      </c>
    </row>
    <row r="44" spans="1:30" x14ac:dyDescent="0.2">
      <c r="A44">
        <v>-4200</v>
      </c>
      <c r="B44">
        <v>4200</v>
      </c>
      <c r="C44" s="3">
        <f>+B44*(-'IN-&amp;OUTPUT PRESSURES'!C$8/'IN-&amp;OUTPUT PRESSURES'!C$3)</f>
        <v>441.50943396226415</v>
      </c>
      <c r="D44" s="3">
        <f>+B44*'IN-&amp;OUTPUT PRESSURES'!$C$16</f>
        <v>945</v>
      </c>
      <c r="E44" s="4">
        <f>B44*'IN-&amp;OUTPUT PRESSURES'!C$17</f>
        <v>672</v>
      </c>
      <c r="F44" s="4">
        <f t="shared" si="4"/>
        <v>526.13333333333333</v>
      </c>
      <c r="G44" s="1">
        <f t="shared" si="5"/>
        <v>145.86666666666667</v>
      </c>
      <c r="H44">
        <f t="shared" si="0"/>
        <v>144.4</v>
      </c>
      <c r="I44" s="1">
        <f>H44-'IN-&amp;OUTPUT PRESSURES'!$C$19</f>
        <v>109.4</v>
      </c>
      <c r="J44" s="1">
        <f t="shared" si="1"/>
        <v>84.623899371069172</v>
      </c>
      <c r="AD44">
        <f t="shared" si="3"/>
        <v>567</v>
      </c>
    </row>
    <row r="45" spans="1:30" x14ac:dyDescent="0.2">
      <c r="A45">
        <v>-4300</v>
      </c>
      <c r="B45">
        <v>4300</v>
      </c>
      <c r="C45" s="3">
        <f>+B45*(-'IN-&amp;OUTPUT PRESSURES'!C$8/'IN-&amp;OUTPUT PRESSURES'!C$3)</f>
        <v>452.02156334231807</v>
      </c>
      <c r="D45" s="3">
        <f>+B45*'IN-&amp;OUTPUT PRESSURES'!$C$16</f>
        <v>967.5</v>
      </c>
      <c r="E45" s="4">
        <f>B45*'IN-&amp;OUTPUT PRESSURES'!C$17</f>
        <v>688</v>
      </c>
      <c r="F45" s="4">
        <f t="shared" si="4"/>
        <v>537.86666666666667</v>
      </c>
      <c r="G45" s="1">
        <f t="shared" si="5"/>
        <v>150.13333333333333</v>
      </c>
      <c r="H45">
        <f t="shared" si="0"/>
        <v>147.6</v>
      </c>
      <c r="I45" s="1">
        <f>H45-'IN-&amp;OUTPUT PRESSURES'!$C$19</f>
        <v>112.6</v>
      </c>
      <c r="J45" s="1">
        <f t="shared" si="1"/>
        <v>85.845103324348599</v>
      </c>
      <c r="AD45">
        <f t="shared" si="3"/>
        <v>580.5</v>
      </c>
    </row>
    <row r="46" spans="1:30" ht="15" x14ac:dyDescent="0.25">
      <c r="A46">
        <v>-4400</v>
      </c>
      <c r="B46">
        <v>4400</v>
      </c>
      <c r="C46" s="3">
        <f>+B46*(-'IN-&amp;OUTPUT PRESSURES'!C$8/'IN-&amp;OUTPUT PRESSURES'!C$3)</f>
        <v>462.533692722372</v>
      </c>
      <c r="D46" s="3">
        <f>+B46*'IN-&amp;OUTPUT PRESSURES'!$C$16</f>
        <v>990</v>
      </c>
      <c r="E46" s="4">
        <f>B46*'IN-&amp;OUTPUT PRESSURES'!C$17</f>
        <v>704</v>
      </c>
      <c r="F46" s="4">
        <f t="shared" si="4"/>
        <v>549.59999999999991</v>
      </c>
      <c r="G46" s="1">
        <f t="shared" si="5"/>
        <v>154.40000000000003</v>
      </c>
      <c r="H46">
        <f t="shared" si="0"/>
        <v>150.80000000000001</v>
      </c>
      <c r="I46" s="1">
        <f>H46-'IN-&amp;OUTPUT PRESSURES'!$C$19</f>
        <v>115.80000000000001</v>
      </c>
      <c r="J46" s="1">
        <f t="shared" si="1"/>
        <v>87.066307277627971</v>
      </c>
      <c r="N46" s="104">
        <f>'IN-&amp;OUTPUT PRESSURES'!C4</f>
        <v>-1842.5</v>
      </c>
      <c r="O46" s="104">
        <v>800</v>
      </c>
      <c r="AD46">
        <f t="shared" si="3"/>
        <v>594</v>
      </c>
    </row>
    <row r="47" spans="1:30" ht="15" x14ac:dyDescent="0.25">
      <c r="C47" s="3"/>
      <c r="D47" s="3"/>
      <c r="E47" s="4"/>
      <c r="F47" s="4"/>
      <c r="G47" s="1"/>
      <c r="I47" s="1"/>
      <c r="N47" s="104">
        <f>'IN-&amp;OUTPUT PRESSURES'!C4</f>
        <v>-1842.5</v>
      </c>
      <c r="O47" s="105">
        <v>0</v>
      </c>
    </row>
  </sheetData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IN-&amp;OUTPUT PRESSURES</vt:lpstr>
      <vt:lpstr>Mohr berekeningen</vt:lpstr>
      <vt:lpstr>gradienten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Thienen-Visser, K. (Karin) van</dc:creator>
  <cp:lastModifiedBy>Bart van Kempen</cp:lastModifiedBy>
  <cp:lastPrinted>2013-02-15T10:44:42Z</cp:lastPrinted>
  <dcterms:created xsi:type="dcterms:W3CDTF">2012-03-29T12:18:06Z</dcterms:created>
  <dcterms:modified xsi:type="dcterms:W3CDTF">2016-05-25T11:52:42Z</dcterms:modified>
</cp:coreProperties>
</file>